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7550" windowHeight="11020" tabRatio="710" activeTab="0"/>
  </bookViews>
  <sheets>
    <sheet name="gearcalc" sheetId="1" r:id="rId1"/>
    <sheet name="toothick" sheetId="2" r:id="rId2"/>
    <sheet name="close mesh cd" sheetId="3" r:id="rId3"/>
    <sheet name="crestwidth" sheetId="4" r:id="rId4"/>
    <sheet name="contact ratio" sheetId="5" r:id="rId5"/>
    <sheet name="drawing data" sheetId="6" r:id="rId6"/>
    <sheet name="Lewis Factors" sheetId="7" r:id="rId7"/>
    <sheet name="Strength analysis" sheetId="8" r:id="rId8"/>
  </sheets>
  <definedNames>
    <definedName name="invhp1">'gearcalc'!$D$49</definedName>
    <definedName name="invhw1">'gearcalc'!$F$49</definedName>
    <definedName name="solver_adj" localSheetId="0" hidden="1">'gearcalc'!$F$71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'gearcalc'!$F$70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0.020668</definedName>
  </definedNames>
  <calcPr fullCalcOnLoad="1"/>
</workbook>
</file>

<file path=xl/sharedStrings.xml><?xml version="1.0" encoding="utf-8"?>
<sst xmlns="http://schemas.openxmlformats.org/spreadsheetml/2006/main" count="316" uniqueCount="252">
  <si>
    <t>EXTERNAL INVOLUTE STRAIGHT SPUR GEAR DATA</t>
  </si>
  <si>
    <t>DIAMETRAL PITCH SYSTEM (INCH) UNITS</t>
  </si>
  <si>
    <t>BASIC GEOMETRY:-</t>
  </si>
  <si>
    <t>DIAMETRAL PITCH (P):</t>
  </si>
  <si>
    <t>PART NUMBER OF GEAR:</t>
  </si>
  <si>
    <t>Gear ratio:</t>
  </si>
  <si>
    <t>Centre distance (Std.):</t>
  </si>
  <si>
    <t>Centre distance extension:</t>
  </si>
  <si>
    <t>Pitch circle dia (Std.):</t>
  </si>
  <si>
    <t>Base circle dia.:</t>
  </si>
  <si>
    <t>Profile shift coefficient:</t>
  </si>
  <si>
    <t>Dedendum:</t>
  </si>
  <si>
    <t>Whole depth of tooth:</t>
  </si>
  <si>
    <t>Major diameter:</t>
  </si>
  <si>
    <t>Root diameter (nom.):</t>
  </si>
  <si>
    <t>Number of teeth:</t>
  </si>
  <si>
    <t>Pinion</t>
  </si>
  <si>
    <t>Gear</t>
  </si>
  <si>
    <t>Root clearance value:</t>
  </si>
  <si>
    <t>Extended centre distance:</t>
  </si>
  <si>
    <t>Extended PCD:</t>
  </si>
  <si>
    <t>R=T/t</t>
  </si>
  <si>
    <t>h=(A+B)</t>
  </si>
  <si>
    <t>Upper case or 'p' denotes pinion</t>
  </si>
  <si>
    <t>Lower case or 'w' denotes wheel</t>
  </si>
  <si>
    <t>Common</t>
  </si>
  <si>
    <r>
      <t>Size of measuring pin (Ø</t>
    </r>
    <r>
      <rPr>
        <sz val="10"/>
        <rFont val="Arial"/>
        <family val="2"/>
      </rPr>
      <t>)</t>
    </r>
  </si>
  <si>
    <t>Measurement over pins (Std.)</t>
  </si>
  <si>
    <t>Formula</t>
  </si>
  <si>
    <t>Sum of profile shift coefficient:</t>
  </si>
  <si>
    <r>
      <t>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(input)</t>
    </r>
  </si>
  <si>
    <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=cos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(C/C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cos</t>
    </r>
    <r>
      <rPr>
        <sz val="10"/>
        <rFont val="Symbol"/>
        <family val="1"/>
      </rPr>
      <t>y)</t>
    </r>
  </si>
  <si>
    <r>
      <t>e=C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-(T+t)/2/P</t>
    </r>
  </si>
  <si>
    <r>
      <t>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(input)</t>
    </r>
  </si>
  <si>
    <r>
      <t>z</t>
    </r>
    <r>
      <rPr>
        <vertAlign val="subscript"/>
        <sz val="10"/>
        <rFont val="Arial"/>
        <family val="2"/>
      </rPr>
      <t>nom</t>
    </r>
    <r>
      <rPr>
        <sz val="10"/>
        <rFont val="Arial"/>
        <family val="0"/>
      </rPr>
      <t xml:space="preserve"> (input)</t>
    </r>
  </si>
  <si>
    <t>Arc tooth thickness at std. PCD:</t>
  </si>
  <si>
    <t>Backlash allowance/gear:</t>
  </si>
  <si>
    <t>Addendum:</t>
  </si>
  <si>
    <t>Involute function of std.press.ang.:</t>
  </si>
  <si>
    <t>Extended pressure angle:</t>
  </si>
  <si>
    <t>Involute function of ext.press.ang.:</t>
  </si>
  <si>
    <t>Backlash required (nominal-total):</t>
  </si>
  <si>
    <t>Involute func. of PA thro' pin ctr.:</t>
  </si>
  <si>
    <t>t (T) (input)</t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</si>
  <si>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(proportioned/gear)</t>
    </r>
  </si>
  <si>
    <t>Pressure angle thro' pin centre:</t>
  </si>
  <si>
    <t>w=1.728/P (or as selected)</t>
  </si>
  <si>
    <t>Arc tooth thickness with backlash:</t>
  </si>
  <si>
    <t>Measurement over pins - max:</t>
  </si>
  <si>
    <t>Tooth thickness tolerance:</t>
  </si>
  <si>
    <r>
      <t>g</t>
    </r>
    <r>
      <rPr>
        <vertAlign val="subscript"/>
        <sz val="10"/>
        <rFont val="Arial"/>
        <family val="2"/>
      </rPr>
      <t>tol</t>
    </r>
    <r>
      <rPr>
        <sz val="10"/>
        <rFont val="Arial"/>
        <family val="2"/>
      </rPr>
      <t xml:space="preserve"> (input)</t>
    </r>
  </si>
  <si>
    <t>Arc tooth thickness - min</t>
  </si>
  <si>
    <r>
      <t>g</t>
    </r>
    <r>
      <rPr>
        <vertAlign val="subscript"/>
        <sz val="10"/>
        <rFont val="Arial"/>
        <family val="2"/>
      </rPr>
      <t>min(p),(w)</t>
    </r>
    <r>
      <rPr>
        <sz val="10"/>
        <rFont val="Arial"/>
        <family val="2"/>
      </rPr>
      <t>=g</t>
    </r>
    <r>
      <rPr>
        <vertAlign val="subscript"/>
        <sz val="10"/>
        <rFont val="Arial"/>
        <family val="2"/>
      </rPr>
      <t>max(p).(w)</t>
    </r>
    <r>
      <rPr>
        <sz val="10"/>
        <rFont val="Arial"/>
        <family val="2"/>
      </rPr>
      <t>-g</t>
    </r>
    <r>
      <rPr>
        <vertAlign val="subscript"/>
        <sz val="10"/>
        <rFont val="Arial"/>
        <family val="2"/>
      </rPr>
      <t>tol</t>
    </r>
  </si>
  <si>
    <t>Measurement over pins - min:</t>
  </si>
  <si>
    <t>d=t/P ; D=N/P</t>
  </si>
  <si>
    <r>
      <t>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=(1+k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)/P ;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=(1+k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)/P</t>
    </r>
  </si>
  <si>
    <r>
      <t>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=d-2B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; 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=D-2B</t>
    </r>
    <r>
      <rPr>
        <vertAlign val="subscript"/>
        <sz val="10"/>
        <rFont val="Arial"/>
        <family val="2"/>
      </rPr>
      <t>w</t>
    </r>
  </si>
  <si>
    <r>
      <t>z</t>
    </r>
    <r>
      <rPr>
        <vertAlign val="subscript"/>
        <sz val="10"/>
        <rFont val="Arial"/>
        <family val="2"/>
      </rPr>
      <t>a(p)</t>
    </r>
    <r>
      <rPr>
        <sz val="10"/>
        <rFont val="Arial"/>
        <family val="2"/>
      </rPr>
      <t>+z</t>
    </r>
    <r>
      <rPr>
        <vertAlign val="subscript"/>
        <sz val="10"/>
        <rFont val="Arial"/>
        <family val="2"/>
      </rPr>
      <t>a(w)</t>
    </r>
    <r>
      <rPr>
        <sz val="10"/>
        <rFont val="Arial"/>
        <family val="2"/>
      </rPr>
      <t>=z</t>
    </r>
    <r>
      <rPr>
        <vertAlign val="subscript"/>
        <sz val="10"/>
        <rFont val="Arial"/>
        <family val="2"/>
      </rPr>
      <t>nom</t>
    </r>
    <r>
      <rPr>
        <sz val="10"/>
        <rFont val="Arial"/>
        <family val="2"/>
      </rPr>
      <t>-z</t>
    </r>
    <r>
      <rPr>
        <vertAlign val="subscript"/>
        <sz val="10"/>
        <rFont val="Arial"/>
        <family val="2"/>
      </rPr>
      <t>o</t>
    </r>
  </si>
  <si>
    <t>REQUIRED INPUT DATA EXTRACTED FROM 'gearcalc' WORKSHEET</t>
  </si>
  <si>
    <t>Arc tooth thickness (Std.):</t>
  </si>
  <si>
    <t>t (T)</t>
  </si>
  <si>
    <t>P</t>
  </si>
  <si>
    <t>y</t>
  </si>
  <si>
    <r>
      <t>C</t>
    </r>
    <r>
      <rPr>
        <vertAlign val="subscript"/>
        <sz val="10"/>
        <rFont val="Arial"/>
        <family val="2"/>
      </rPr>
      <t>e</t>
    </r>
  </si>
  <si>
    <t>C</t>
  </si>
  <si>
    <t>CALCULATION OF TOOTH THICKNESS OF GEAR AT OPERATING PITCH CIRCLE DIAMETER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</si>
  <si>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=2t/(T+t)C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: 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=2T/(T+t)C</t>
    </r>
    <r>
      <rPr>
        <vertAlign val="subscript"/>
        <sz val="10"/>
        <rFont val="Arial"/>
        <family val="2"/>
      </rPr>
      <t>e</t>
    </r>
  </si>
  <si>
    <t>Operating pressure angle:</t>
  </si>
  <si>
    <t>Pressure angle (Std.):</t>
  </si>
  <si>
    <t>Diametral pitch:</t>
  </si>
  <si>
    <t>Operating pitch circle dia.:</t>
  </si>
  <si>
    <t>Close mesh centre distance: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</si>
  <si>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=2t.C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/(T+t) ; 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=2T.C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/(T+t)</t>
    </r>
  </si>
  <si>
    <t>Backlash at nominal thickness (generated backlash):</t>
  </si>
  <si>
    <t>PITCH CIRCLE DIAMETER AND PRESSURE ANGLE</t>
  </si>
  <si>
    <t>CALCULATION OF CLOSE MESH CENTRE DISTANCE GIVEN STANDARD TOOTH THICKNESS,</t>
  </si>
  <si>
    <t>Involute function at operating CD:</t>
  </si>
  <si>
    <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(from involute tables)</t>
    </r>
  </si>
  <si>
    <t>Standard centre distance:</t>
  </si>
  <si>
    <t>C=(d+D)/2</t>
  </si>
  <si>
    <t>Ref</t>
  </si>
  <si>
    <t>4.7.6</t>
  </si>
  <si>
    <r>
      <t>Check</t>
    </r>
    <r>
      <rPr>
        <sz val="10"/>
        <rFont val="Arial"/>
        <family val="0"/>
      </rPr>
      <t xml:space="preserve"> extended PCD from tooth thickness at operating pitch diameter (ref. Line 15):</t>
    </r>
  </si>
  <si>
    <t>Ref.</t>
  </si>
  <si>
    <t>4.35.1</t>
  </si>
  <si>
    <t>6.28.2</t>
  </si>
  <si>
    <t>4.3.1</t>
  </si>
  <si>
    <t>4.5.2</t>
  </si>
  <si>
    <t>6.9.2</t>
  </si>
  <si>
    <t>4.34.1</t>
  </si>
  <si>
    <t>6.7.3/4</t>
  </si>
  <si>
    <t>6.7.11/12</t>
  </si>
  <si>
    <r>
      <t>Equivalent arc value of z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(circumferential backlash)</t>
    </r>
  </si>
  <si>
    <t>Arc tooth thickness at std. PCD  at close mesh:</t>
  </si>
  <si>
    <t>Measurement over pins - close mesh:</t>
  </si>
  <si>
    <t>Arc tooth thickness at operating pitch diameter - close mesh:</t>
  </si>
  <si>
    <t>Arc tooth thickness at std. PCD - close mesh:</t>
  </si>
  <si>
    <t>This program computes gear and tooth proportions for gears operating on standard or extended centres in response to input data :-</t>
  </si>
  <si>
    <t>cells</t>
  </si>
  <si>
    <t>d=t/P ; D=T/P</t>
  </si>
  <si>
    <t>Wheel</t>
  </si>
  <si>
    <t>Unspecified data taken from worksheet 'gearcalc'</t>
  </si>
  <si>
    <t>Pressure angle to outside dia.:</t>
  </si>
  <si>
    <t>4.7.8</t>
  </si>
  <si>
    <t>4.7.7</t>
  </si>
  <si>
    <t>Crest width @ max., tooth thickness:</t>
  </si>
  <si>
    <t>Crest width @ min., tooth thickness:</t>
  </si>
  <si>
    <t>SPUR GEAR CREST WIDTH CALCULATION</t>
  </si>
  <si>
    <t>Obliquity of involute at tip of tooth:</t>
  </si>
  <si>
    <t>4.6.7b</t>
  </si>
  <si>
    <t>Crest width change per addendum change:</t>
  </si>
  <si>
    <t>4.7.9</t>
  </si>
  <si>
    <t>Incremental change to addendum:</t>
  </si>
  <si>
    <t>Note:- The desireable minimum crest width for case hardened gears is about : 0.5/P, but may be 0.4/P for other materials (6.6)</t>
  </si>
  <si>
    <t>Addendum modification for crest width of 0.5/P:</t>
  </si>
  <si>
    <t>6.6.2</t>
  </si>
  <si>
    <t>TEETH) IS GIVEN BY :-</t>
  </si>
  <si>
    <t>RELATIONSHIP BETWEEN CHANGE OF CREST WIDTH TO CHANGE OF ADDENDUM (INCREASING CREST WIDTH BY 'TOPPING'</t>
  </si>
  <si>
    <r>
      <t>Note:The following analyses assumes the minimum crest width values (w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above </t>
    </r>
  </si>
  <si>
    <t>Desired value of crest width:</t>
  </si>
  <si>
    <r>
      <t>w</t>
    </r>
    <r>
      <rPr>
        <vertAlign val="subscript"/>
        <sz val="10"/>
        <rFont val="Arial"/>
        <family val="2"/>
      </rPr>
      <t>act</t>
    </r>
    <r>
      <rPr>
        <sz val="10"/>
        <rFont val="Arial"/>
        <family val="2"/>
      </rPr>
      <t>=0.5/P</t>
    </r>
  </si>
  <si>
    <t>Modified major diameter:</t>
  </si>
  <si>
    <r>
      <t>d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=d+2A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; D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=D+2A</t>
    </r>
    <r>
      <rPr>
        <vertAlign val="subscript"/>
        <sz val="10"/>
        <rFont val="Arial"/>
        <family val="2"/>
      </rPr>
      <t>w</t>
    </r>
  </si>
  <si>
    <t>6.7.5b</t>
  </si>
  <si>
    <t>If major diameter changed, check reduced contact ratio value in 'contact ratio' worksheet.</t>
  </si>
  <si>
    <t>Unspecified data taken from preceding worksheets</t>
  </si>
  <si>
    <t>Base pitch:</t>
  </si>
  <si>
    <t>12.5i</t>
  </si>
  <si>
    <t>12.5ii</t>
  </si>
  <si>
    <r>
      <t>l</t>
    </r>
    <r>
      <rPr>
        <vertAlign val="subscript"/>
        <sz val="10"/>
        <rFont val="Arial"/>
        <family val="2"/>
      </rPr>
      <t>I p</t>
    </r>
    <r>
      <rPr>
        <sz val="10"/>
        <rFont val="Arial"/>
        <family val="2"/>
      </rPr>
      <t>=(d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-d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/2 ; l</t>
    </r>
    <r>
      <rPr>
        <vertAlign val="subscript"/>
        <sz val="10"/>
        <rFont val="Arial"/>
        <family val="2"/>
      </rPr>
      <t>i w</t>
    </r>
    <r>
      <rPr>
        <sz val="10"/>
        <rFont val="Arial"/>
        <family val="2"/>
      </rPr>
      <t>=(D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-D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/2</t>
    </r>
  </si>
  <si>
    <t>Tangent length - pinion - wheel:</t>
  </si>
  <si>
    <t>Base tangent length:</t>
  </si>
  <si>
    <t>12.6iv</t>
  </si>
  <si>
    <t>Length of path of contact:</t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</si>
  <si>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=l</t>
    </r>
    <r>
      <rPr>
        <vertAlign val="subscript"/>
        <sz val="10"/>
        <rFont val="Arial"/>
        <family val="2"/>
      </rPr>
      <t>I p</t>
    </r>
    <r>
      <rPr>
        <sz val="10"/>
        <rFont val="Arial"/>
        <family val="2"/>
      </rPr>
      <t>+l</t>
    </r>
    <r>
      <rPr>
        <vertAlign val="subscript"/>
        <sz val="10"/>
        <rFont val="Arial"/>
        <family val="2"/>
      </rPr>
      <t>I p</t>
    </r>
    <r>
      <rPr>
        <sz val="10"/>
        <rFont val="Arial"/>
        <family val="2"/>
      </rPr>
      <t>-l</t>
    </r>
    <r>
      <rPr>
        <vertAlign val="subscript"/>
        <sz val="10"/>
        <rFont val="Arial"/>
        <family val="2"/>
      </rPr>
      <t>I</t>
    </r>
  </si>
  <si>
    <r>
      <t>l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=[C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-(d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  <r>
      <rPr>
        <vertAlign val="superscript"/>
        <sz val="10"/>
        <rFont val="Arial"/>
        <family val="2"/>
      </rPr>
      <t>1/2</t>
    </r>
  </si>
  <si>
    <t>12.5v</t>
  </si>
  <si>
    <t>Contact ratio: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</si>
  <si>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o</t>
    </r>
  </si>
  <si>
    <t>12.5vi</t>
  </si>
  <si>
    <t>Notes:-</t>
  </si>
  <si>
    <t>Tooth and blank tolerances may need to be considered in critical circumstances.</t>
  </si>
  <si>
    <t>Involute contact ratio should be 1.2 to 1.4 or higher.</t>
  </si>
  <si>
    <t>SPUR GEAR INVOLUTE CONTACT RATIO CALCULATION</t>
  </si>
  <si>
    <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=cos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(C/C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.cos</t>
    </r>
    <r>
      <rPr>
        <sz val="10"/>
        <rFont val="Symbol"/>
        <family val="1"/>
      </rPr>
      <t>y)</t>
    </r>
  </si>
  <si>
    <t xml:space="preserve">CHARTED DATA TO BE INCLUDED ON THE GEAR DRAWING :- </t>
  </si>
  <si>
    <t>PART NUMER OF GEAR:</t>
  </si>
  <si>
    <t>NUMBER OF TEETH</t>
  </si>
  <si>
    <t>DIAMETRAL PITCH</t>
  </si>
  <si>
    <t>MODULE</t>
  </si>
  <si>
    <t>PRESSURE ANGLE - DEGREES</t>
  </si>
  <si>
    <t>PITCH DIAMETER (REF)</t>
  </si>
  <si>
    <t>ROOT DIAMETER (NOM)</t>
  </si>
  <si>
    <t>CIRCULAR TOOTH THICKNESS</t>
  </si>
  <si>
    <t>DIAMETER OF MEASURING PIN</t>
  </si>
  <si>
    <t>MEASUREMENT OVER PINS</t>
  </si>
  <si>
    <t>BACKLASH WITH MATING GEAR</t>
  </si>
  <si>
    <t>PART NUMBER OF MATING GEAR</t>
  </si>
  <si>
    <t>ADDITIONAL INFORMATION/DATA FOR ADDING TO THE DRAWING:-</t>
  </si>
  <si>
    <t>Outside (blank) diameter of gear:</t>
  </si>
  <si>
    <t>Note:- dependant upon application, drawing may require charts defining crown position and magnitude, involute tolerance limits, tip and root relief and lead tolerance limits.</t>
  </si>
  <si>
    <t xml:space="preserve">Nomenclature based on: GEAR ENGINEERING - Dr. H.E.Merritt. </t>
  </si>
  <si>
    <r>
      <t>PRESSURE ANGLE (PA) (</t>
    </r>
    <r>
      <rPr>
        <sz val="9"/>
        <rFont val="Symbol"/>
        <family val="1"/>
      </rPr>
      <t>y</t>
    </r>
    <r>
      <rPr>
        <sz val="9"/>
        <rFont val="Arial"/>
        <family val="2"/>
      </rPr>
      <t>) - degrees:</t>
    </r>
  </si>
  <si>
    <r>
      <t>D</t>
    </r>
    <r>
      <rPr>
        <vertAlign val="subscript"/>
        <sz val="9"/>
        <rFont val="Arial"/>
        <family val="2"/>
      </rPr>
      <t>o</t>
    </r>
    <r>
      <rPr>
        <sz val="9"/>
        <rFont val="Arial"/>
        <family val="0"/>
      </rPr>
      <t>=D.cos</t>
    </r>
    <r>
      <rPr>
        <sz val="9"/>
        <rFont val="Symbol"/>
        <family val="1"/>
      </rPr>
      <t>y</t>
    </r>
  </si>
  <si>
    <r>
      <t>g=</t>
    </r>
    <r>
      <rPr>
        <sz val="9"/>
        <rFont val="Symbol"/>
        <family val="1"/>
      </rPr>
      <t>p</t>
    </r>
    <r>
      <rPr>
        <sz val="9"/>
        <rFont val="Arial"/>
        <family val="2"/>
      </rPr>
      <t>/2/P</t>
    </r>
  </si>
  <si>
    <r>
      <t>inv</t>
    </r>
    <r>
      <rPr>
        <sz val="9"/>
        <rFont val="Symbol"/>
        <family val="1"/>
      </rPr>
      <t>y</t>
    </r>
    <r>
      <rPr>
        <sz val="9"/>
        <rFont val="Arial"/>
        <family val="2"/>
      </rPr>
      <t>=tan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py</t>
    </r>
    <r>
      <rPr>
        <sz val="9"/>
        <rFont val="Arial"/>
        <family val="2"/>
      </rPr>
      <t>/180</t>
    </r>
  </si>
  <si>
    <r>
      <t>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=tan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-</t>
    </r>
    <r>
      <rPr>
        <sz val="9"/>
        <rFont val="Symbol"/>
        <family val="1"/>
      </rPr>
      <t>py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/180</t>
    </r>
  </si>
  <si>
    <r>
      <t>z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=(D+d)cos</t>
    </r>
    <r>
      <rPr>
        <sz val="9"/>
        <rFont val="Symbol"/>
        <family val="1"/>
      </rPr>
      <t>y</t>
    </r>
    <r>
      <rPr>
        <sz val="9"/>
        <rFont val="Arial"/>
        <family val="2"/>
      </rPr>
      <t>(inv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-inv</t>
    </r>
    <r>
      <rPr>
        <sz val="9"/>
        <rFont val="Symbol"/>
        <family val="1"/>
      </rPr>
      <t>y</t>
    </r>
    <r>
      <rPr>
        <sz val="9"/>
        <rFont val="Arial"/>
        <family val="2"/>
      </rPr>
      <t>)-2e.sin</t>
    </r>
    <r>
      <rPr>
        <sz val="9"/>
        <rFont val="Symbol"/>
        <family val="1"/>
      </rPr>
      <t>y</t>
    </r>
  </si>
  <si>
    <r>
      <t>g</t>
    </r>
    <r>
      <rPr>
        <vertAlign val="subscript"/>
        <sz val="9"/>
        <rFont val="Arial"/>
        <family val="2"/>
      </rPr>
      <t>zo</t>
    </r>
    <r>
      <rPr>
        <sz val="9"/>
        <rFont val="Arial"/>
        <family val="2"/>
      </rPr>
      <t>=z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/cos</t>
    </r>
    <r>
      <rPr>
        <sz val="9"/>
        <rFont val="Symbol"/>
        <family val="1"/>
      </rPr>
      <t>y</t>
    </r>
  </si>
  <si>
    <r>
      <t>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(p),(w)</t>
    </r>
    <r>
      <rPr>
        <sz val="9"/>
        <rFont val="Arial"/>
        <family val="0"/>
      </rPr>
      <t>=(</t>
    </r>
    <r>
      <rPr>
        <sz val="9"/>
        <rFont val="Symbol"/>
        <family val="1"/>
      </rPr>
      <t>p</t>
    </r>
    <r>
      <rPr>
        <sz val="9"/>
        <rFont val="Arial"/>
        <family val="2"/>
      </rPr>
      <t>/2+2k</t>
    </r>
    <r>
      <rPr>
        <vertAlign val="subscript"/>
        <sz val="9"/>
        <rFont val="Arial"/>
        <family val="2"/>
      </rPr>
      <t>(p),(w)</t>
    </r>
    <r>
      <rPr>
        <sz val="9"/>
        <rFont val="Arial"/>
        <family val="2"/>
      </rPr>
      <t>tan</t>
    </r>
    <r>
      <rPr>
        <sz val="9"/>
        <rFont val="Symbol"/>
        <family val="1"/>
      </rPr>
      <t>y</t>
    </r>
    <r>
      <rPr>
        <sz val="9"/>
        <rFont val="Arial"/>
        <family val="2"/>
      </rPr>
      <t>)/P</t>
    </r>
  </si>
  <si>
    <r>
      <t>M=D.cos</t>
    </r>
    <r>
      <rPr>
        <sz val="9"/>
        <rFont val="Symbol"/>
        <family val="1"/>
      </rPr>
      <t>y</t>
    </r>
    <r>
      <rPr>
        <sz val="9"/>
        <rFont val="Arial"/>
        <family val="2"/>
      </rPr>
      <t>/cosh1+w (t - even) M=D.cos</t>
    </r>
    <r>
      <rPr>
        <sz val="9"/>
        <rFont val="Symbol"/>
        <family val="1"/>
      </rPr>
      <t>y</t>
    </r>
    <r>
      <rPr>
        <sz val="9"/>
        <rFont val="Arial"/>
        <family val="2"/>
      </rPr>
      <t>cos(90/t)/cosh1+w (t - odd)</t>
    </r>
  </si>
  <si>
    <r>
      <t>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m(p),(w)</t>
    </r>
    <r>
      <rPr>
        <sz val="9"/>
        <rFont val="Arial"/>
        <family val="0"/>
      </rPr>
      <t>=(</t>
    </r>
    <r>
      <rPr>
        <sz val="9"/>
        <rFont val="Symbol"/>
        <family val="1"/>
      </rPr>
      <t>p</t>
    </r>
    <r>
      <rPr>
        <sz val="9"/>
        <rFont val="Arial"/>
        <family val="2"/>
      </rPr>
      <t>/2+2k</t>
    </r>
    <r>
      <rPr>
        <vertAlign val="subscript"/>
        <sz val="9"/>
        <rFont val="Arial"/>
        <family val="2"/>
      </rPr>
      <t>(p),(w)</t>
    </r>
    <r>
      <rPr>
        <sz val="9"/>
        <rFont val="Arial"/>
        <family val="2"/>
      </rPr>
      <t>tan</t>
    </r>
    <r>
      <rPr>
        <sz val="9"/>
        <rFont val="Symbol"/>
        <family val="1"/>
      </rPr>
      <t>y</t>
    </r>
    <r>
      <rPr>
        <sz val="9"/>
        <rFont val="Arial"/>
        <family val="2"/>
      </rPr>
      <t>)/P+g</t>
    </r>
    <r>
      <rPr>
        <vertAlign val="subscript"/>
        <sz val="9"/>
        <rFont val="Arial"/>
        <family val="2"/>
      </rPr>
      <t>zo</t>
    </r>
    <r>
      <rPr>
        <sz val="9"/>
        <rFont val="Arial"/>
        <family val="2"/>
      </rPr>
      <t>/2</t>
    </r>
  </si>
  <si>
    <r>
      <t>M=D.cos</t>
    </r>
    <r>
      <rPr>
        <sz val="9"/>
        <rFont val="Symbol"/>
        <family val="1"/>
      </rPr>
      <t>y</t>
    </r>
    <r>
      <rPr>
        <sz val="9"/>
        <rFont val="Arial"/>
        <family val="2"/>
      </rPr>
      <t>/cosh</t>
    </r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>+w (t - even) M=D.cos</t>
    </r>
    <r>
      <rPr>
        <sz val="9"/>
        <rFont val="Symbol"/>
        <family val="1"/>
      </rPr>
      <t>y</t>
    </r>
    <r>
      <rPr>
        <sz val="9"/>
        <rFont val="Arial"/>
        <family val="2"/>
      </rPr>
      <t>cos(90/t)/cosh</t>
    </r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>+w (t - odd)</t>
    </r>
  </si>
  <si>
    <r>
      <t>g</t>
    </r>
    <r>
      <rPr>
        <vertAlign val="subscript"/>
        <sz val="9"/>
        <rFont val="Arial"/>
        <family val="2"/>
      </rPr>
      <t>max</t>
    </r>
    <r>
      <rPr>
        <sz val="9"/>
        <rFont val="Arial"/>
        <family val="2"/>
      </rPr>
      <t>=g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-z</t>
    </r>
    <r>
      <rPr>
        <vertAlign val="subscript"/>
        <sz val="9"/>
        <rFont val="Arial"/>
        <family val="2"/>
      </rPr>
      <t>a(p),(w)</t>
    </r>
  </si>
  <si>
    <r>
      <t>M</t>
    </r>
    <r>
      <rPr>
        <vertAlign val="subscript"/>
        <sz val="9"/>
        <rFont val="Arial"/>
        <family val="2"/>
      </rPr>
      <t>max</t>
    </r>
    <r>
      <rPr>
        <sz val="9"/>
        <rFont val="Arial"/>
        <family val="0"/>
      </rPr>
      <t>=D.cos</t>
    </r>
    <r>
      <rPr>
        <sz val="9"/>
        <rFont val="Symbol"/>
        <family val="1"/>
      </rPr>
      <t>y</t>
    </r>
    <r>
      <rPr>
        <sz val="9"/>
        <rFont val="Arial"/>
        <family val="2"/>
      </rPr>
      <t>/cosh2+w (even) M</t>
    </r>
    <r>
      <rPr>
        <vertAlign val="subscript"/>
        <sz val="9"/>
        <rFont val="Arial"/>
        <family val="2"/>
      </rPr>
      <t>max</t>
    </r>
    <r>
      <rPr>
        <sz val="9"/>
        <rFont val="Arial"/>
        <family val="2"/>
      </rPr>
      <t>=D.cos</t>
    </r>
    <r>
      <rPr>
        <sz val="9"/>
        <rFont val="Symbol"/>
        <family val="1"/>
      </rPr>
      <t>y</t>
    </r>
    <r>
      <rPr>
        <sz val="9"/>
        <rFont val="Arial"/>
        <family val="2"/>
      </rPr>
      <t>cos(90/t)/cosh2+w(odd)</t>
    </r>
  </si>
  <si>
    <r>
      <t>M</t>
    </r>
    <r>
      <rPr>
        <vertAlign val="subscript"/>
        <sz val="9"/>
        <rFont val="Arial"/>
        <family val="2"/>
      </rPr>
      <t>min</t>
    </r>
    <r>
      <rPr>
        <sz val="9"/>
        <rFont val="Arial"/>
        <family val="0"/>
      </rPr>
      <t>=D.cos</t>
    </r>
    <r>
      <rPr>
        <sz val="9"/>
        <rFont val="Symbol"/>
        <family val="1"/>
      </rPr>
      <t>y</t>
    </r>
    <r>
      <rPr>
        <sz val="9"/>
        <rFont val="Arial"/>
        <family val="2"/>
      </rPr>
      <t>/cosh2+w (even) M</t>
    </r>
    <r>
      <rPr>
        <vertAlign val="subscript"/>
        <sz val="9"/>
        <rFont val="Arial"/>
        <family val="2"/>
      </rPr>
      <t>min</t>
    </r>
    <r>
      <rPr>
        <sz val="9"/>
        <rFont val="Arial"/>
        <family val="2"/>
      </rPr>
      <t>=D.cos</t>
    </r>
    <r>
      <rPr>
        <sz val="9"/>
        <rFont val="Symbol"/>
        <family val="1"/>
      </rPr>
      <t>y</t>
    </r>
    <r>
      <rPr>
        <sz val="9"/>
        <rFont val="Arial"/>
        <family val="2"/>
      </rPr>
      <t>cos(90/t)/cosh2+w(odd)</t>
    </r>
  </si>
  <si>
    <r>
      <t>g</t>
    </r>
    <r>
      <rPr>
        <vertAlign val="subscript"/>
        <sz val="9"/>
        <rFont val="Arial"/>
        <family val="2"/>
      </rPr>
      <t>1(p),(w)</t>
    </r>
    <r>
      <rPr>
        <sz val="9"/>
        <rFont val="Arial"/>
        <family val="2"/>
      </rPr>
      <t>=d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(g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-inv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)</t>
    </r>
  </si>
  <si>
    <r>
      <t>d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=(g</t>
    </r>
    <r>
      <rPr>
        <vertAlign val="subscript"/>
        <sz val="9"/>
        <rFont val="Arial"/>
        <family val="2"/>
      </rPr>
      <t>1(p)</t>
    </r>
    <r>
      <rPr>
        <sz val="9"/>
        <rFont val="Arial"/>
        <family val="2"/>
      </rPr>
      <t>+g</t>
    </r>
    <r>
      <rPr>
        <vertAlign val="subscript"/>
        <sz val="9"/>
        <rFont val="Arial"/>
        <family val="2"/>
      </rPr>
      <t>1(w)</t>
    </r>
    <r>
      <rPr>
        <sz val="9"/>
        <rFont val="Arial"/>
        <family val="2"/>
      </rPr>
      <t>)t/</t>
    </r>
    <r>
      <rPr>
        <sz val="9"/>
        <rFont val="Symbol"/>
        <family val="1"/>
      </rPr>
      <t>p</t>
    </r>
    <r>
      <rPr>
        <sz val="9"/>
        <rFont val="Arial"/>
        <family val="2"/>
      </rPr>
      <t xml:space="preserve"> </t>
    </r>
    <r>
      <rPr>
        <sz val="9"/>
        <rFont val="Symbol"/>
        <family val="1"/>
      </rPr>
      <t xml:space="preserve"> </t>
    </r>
    <r>
      <rPr>
        <sz val="9"/>
        <rFont val="Arial"/>
        <family val="2"/>
      </rPr>
      <t>D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=(g</t>
    </r>
    <r>
      <rPr>
        <vertAlign val="subscript"/>
        <sz val="9"/>
        <rFont val="Arial"/>
        <family val="2"/>
      </rPr>
      <t>1(p)</t>
    </r>
    <r>
      <rPr>
        <sz val="9"/>
        <rFont val="Arial"/>
        <family val="2"/>
      </rPr>
      <t>+g</t>
    </r>
    <r>
      <rPr>
        <vertAlign val="subscript"/>
        <sz val="9"/>
        <rFont val="Arial"/>
        <family val="2"/>
      </rPr>
      <t>1(w)</t>
    </r>
    <r>
      <rPr>
        <sz val="9"/>
        <rFont val="Arial"/>
        <family val="2"/>
      </rPr>
      <t>)T/</t>
    </r>
    <r>
      <rPr>
        <sz val="9"/>
        <rFont val="Symbol"/>
        <family val="1"/>
      </rPr>
      <t>p</t>
    </r>
  </si>
  <si>
    <r>
      <t>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=(t(g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+g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+z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/cos</t>
    </r>
    <r>
      <rPr>
        <sz val="9"/>
        <rFont val="Symbol"/>
        <family val="1"/>
      </rPr>
      <t>y</t>
    </r>
    <r>
      <rPr>
        <sz val="9"/>
        <rFont val="Arial"/>
        <family val="2"/>
      </rPr>
      <t>)-</t>
    </r>
    <r>
      <rPr>
        <sz val="9"/>
        <rFont val="Symbol"/>
        <family val="1"/>
      </rPr>
      <t>p</t>
    </r>
    <r>
      <rPr>
        <sz val="9"/>
        <rFont val="Arial"/>
        <family val="2"/>
      </rPr>
      <t>d)/d(t-T)+inv</t>
    </r>
    <r>
      <rPr>
        <sz val="9"/>
        <rFont val="Symbol"/>
        <family val="1"/>
      </rPr>
      <t>y</t>
    </r>
  </si>
  <si>
    <r>
      <t>C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=C.cos</t>
    </r>
    <r>
      <rPr>
        <sz val="9"/>
        <rFont val="Symbol"/>
        <family val="1"/>
      </rPr>
      <t>y</t>
    </r>
    <r>
      <rPr>
        <sz val="9"/>
        <rFont val="Arial"/>
        <family val="2"/>
      </rPr>
      <t>/cos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e</t>
    </r>
  </si>
  <si>
    <r>
      <t>y</t>
    </r>
    <r>
      <rPr>
        <vertAlign val="subscript"/>
        <sz val="9"/>
        <rFont val="Symbol"/>
        <family val="1"/>
      </rPr>
      <t>2</t>
    </r>
    <r>
      <rPr>
        <sz val="9"/>
        <rFont val="Arial"/>
        <family val="2"/>
      </rPr>
      <t>=cos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D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/D</t>
    </r>
    <r>
      <rPr>
        <vertAlign val="subscript"/>
        <sz val="9"/>
        <rFont val="Arial"/>
        <family val="2"/>
      </rPr>
      <t>2</t>
    </r>
  </si>
  <si>
    <r>
      <t>w</t>
    </r>
    <r>
      <rPr>
        <vertAlign val="subscript"/>
        <sz val="9"/>
        <rFont val="Arial"/>
        <family val="2"/>
      </rPr>
      <t>max</t>
    </r>
    <r>
      <rPr>
        <sz val="9"/>
        <rFont val="Arial"/>
        <family val="0"/>
      </rPr>
      <t>=D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[(g</t>
    </r>
    <r>
      <rPr>
        <vertAlign val="subscript"/>
        <sz val="9"/>
        <rFont val="Arial"/>
        <family val="2"/>
      </rPr>
      <t>max</t>
    </r>
    <r>
      <rPr>
        <sz val="9"/>
        <rFont val="Arial"/>
        <family val="2"/>
      </rPr>
      <t>/D)+inv</t>
    </r>
    <r>
      <rPr>
        <sz val="9"/>
        <rFont val="Symbol"/>
        <family val="1"/>
      </rPr>
      <t>y</t>
    </r>
    <r>
      <rPr>
        <sz val="9"/>
        <rFont val="Arial"/>
        <family val="2"/>
      </rPr>
      <t>-inv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]</t>
    </r>
  </si>
  <si>
    <r>
      <t>w</t>
    </r>
    <r>
      <rPr>
        <vertAlign val="subscript"/>
        <sz val="9"/>
        <rFont val="Arial"/>
        <family val="2"/>
      </rPr>
      <t>min</t>
    </r>
    <r>
      <rPr>
        <sz val="9"/>
        <rFont val="Arial"/>
        <family val="0"/>
      </rPr>
      <t>=D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[(g</t>
    </r>
    <r>
      <rPr>
        <vertAlign val="subscript"/>
        <sz val="9"/>
        <rFont val="Arial"/>
        <family val="2"/>
      </rPr>
      <t>min</t>
    </r>
    <r>
      <rPr>
        <sz val="9"/>
        <rFont val="Arial"/>
        <family val="2"/>
      </rPr>
      <t>/D)+inv</t>
    </r>
    <r>
      <rPr>
        <sz val="9"/>
        <rFont val="Symbol"/>
        <family val="1"/>
      </rPr>
      <t>y</t>
    </r>
    <r>
      <rPr>
        <sz val="9"/>
        <rFont val="Arial"/>
        <family val="2"/>
      </rPr>
      <t>-inv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]</t>
    </r>
  </si>
  <si>
    <r>
      <t>f</t>
    </r>
    <r>
      <rPr>
        <sz val="9"/>
        <rFont val="Arial"/>
        <family val="2"/>
      </rPr>
      <t>=tan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-g/D-inv</t>
    </r>
    <r>
      <rPr>
        <sz val="9"/>
        <rFont val="Symbol"/>
        <family val="1"/>
      </rPr>
      <t>y</t>
    </r>
  </si>
  <si>
    <r>
      <t>d</t>
    </r>
    <r>
      <rPr>
        <vertAlign val="subscript"/>
        <sz val="9"/>
        <rFont val="Arial"/>
        <family val="2"/>
      </rPr>
      <t>a</t>
    </r>
  </si>
  <si>
    <r>
      <t>d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=2</t>
    </r>
    <r>
      <rPr>
        <sz val="9"/>
        <rFont val="Symbol"/>
        <family val="1"/>
      </rPr>
      <t>d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>.tan</t>
    </r>
    <r>
      <rPr>
        <sz val="9"/>
        <rFont val="Symbol"/>
        <family val="1"/>
      </rPr>
      <t>f</t>
    </r>
  </si>
  <si>
    <r>
      <t>d</t>
    </r>
    <r>
      <rPr>
        <vertAlign val="subscript"/>
        <sz val="9"/>
        <rFont val="Arial"/>
        <family val="2"/>
      </rPr>
      <t>a(p,w)</t>
    </r>
    <r>
      <rPr>
        <sz val="9"/>
        <rFont val="Arial"/>
        <family val="2"/>
      </rPr>
      <t>=(w</t>
    </r>
    <r>
      <rPr>
        <vertAlign val="subscript"/>
        <sz val="9"/>
        <rFont val="Arial"/>
        <family val="2"/>
      </rPr>
      <t>act</t>
    </r>
    <r>
      <rPr>
        <sz val="9"/>
        <rFont val="Arial"/>
        <family val="2"/>
      </rPr>
      <t>-w</t>
    </r>
    <r>
      <rPr>
        <vertAlign val="subscript"/>
        <sz val="9"/>
        <rFont val="Arial"/>
        <family val="2"/>
      </rPr>
      <t>min</t>
    </r>
    <r>
      <rPr>
        <sz val="9"/>
        <rFont val="Arial"/>
        <family val="2"/>
      </rPr>
      <t>)/2/tan</t>
    </r>
    <r>
      <rPr>
        <sz val="9"/>
        <rFont val="Symbol"/>
        <family val="1"/>
      </rPr>
      <t>f</t>
    </r>
  </si>
  <si>
    <r>
      <t>d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=d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>-2</t>
    </r>
    <r>
      <rPr>
        <sz val="9"/>
        <rFont val="Symbol"/>
        <family val="1"/>
      </rPr>
      <t>d</t>
    </r>
    <r>
      <rPr>
        <vertAlign val="subscript"/>
        <sz val="9"/>
        <rFont val="Arial"/>
        <family val="2"/>
      </rPr>
      <t xml:space="preserve">a ; </t>
    </r>
    <r>
      <rPr>
        <sz val="9"/>
        <rFont val="Arial"/>
        <family val="2"/>
      </rPr>
      <t>D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>=D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>-2</t>
    </r>
    <r>
      <rPr>
        <sz val="9"/>
        <rFont val="Symbol"/>
        <family val="1"/>
      </rPr>
      <t>d</t>
    </r>
    <r>
      <rPr>
        <vertAlign val="subscript"/>
        <sz val="9"/>
        <rFont val="Arial"/>
        <family val="2"/>
      </rPr>
      <t>a</t>
    </r>
  </si>
  <si>
    <r>
      <t>p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=</t>
    </r>
    <r>
      <rPr>
        <sz val="9"/>
        <rFont val="Symbol"/>
        <family val="1"/>
      </rPr>
      <t>p</t>
    </r>
    <r>
      <rPr>
        <sz val="9"/>
        <rFont val="Arial"/>
        <family val="2"/>
      </rPr>
      <t>cos</t>
    </r>
    <r>
      <rPr>
        <sz val="9"/>
        <rFont val="Symbol"/>
        <family val="1"/>
      </rPr>
      <t>y</t>
    </r>
    <r>
      <rPr>
        <sz val="9"/>
        <rFont val="Arial"/>
        <family val="2"/>
      </rPr>
      <t>/P</t>
    </r>
  </si>
  <si>
    <t>Revised:</t>
  </si>
  <si>
    <t>Important: This document (spurgearcalc) is the master and is unprotected to maintain flexibility , therefore, please save as a RENAMED spreadsheet before editing.</t>
  </si>
  <si>
    <t>Modified Lewis strength factors for highest point of single tooth contact for 20° pressure angle gears.</t>
  </si>
  <si>
    <t>Lewis factor Y'</t>
  </si>
  <si>
    <t>SPUR GEAR STRENGTH ANALYSIS</t>
  </si>
  <si>
    <t># Teeth t (T)</t>
  </si>
  <si>
    <t>HP</t>
  </si>
  <si>
    <t>Function</t>
  </si>
  <si>
    <t>Speed of gear:</t>
  </si>
  <si>
    <t>Torque at gear:</t>
  </si>
  <si>
    <t>N - rpm</t>
  </si>
  <si>
    <t>Effective face width:</t>
  </si>
  <si>
    <t>Resultant tooth load:</t>
  </si>
  <si>
    <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- in</t>
    </r>
  </si>
  <si>
    <t>Tangential tooth load:</t>
  </si>
  <si>
    <t>Tooth bending factor:</t>
  </si>
  <si>
    <t>Bending stress:</t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</si>
  <si>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.P/F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/Y' - lbf/in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</si>
  <si>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Power transmitted by gears:</t>
  </si>
  <si>
    <t>Number of teeth in pinion/gear:</t>
  </si>
  <si>
    <t>Compressive stress:</t>
  </si>
  <si>
    <t>Base circle load:</t>
  </si>
  <si>
    <r>
      <t>W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24.T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>/d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/cos </t>
    </r>
    <r>
      <rPr>
        <sz val="10"/>
        <rFont val="Symbol"/>
        <family val="1"/>
      </rPr>
      <t>y</t>
    </r>
    <r>
      <rPr>
        <sz val="10"/>
        <rFont val="Arial"/>
        <family val="2"/>
      </rPr>
      <t xml:space="preserve"> - lbf</t>
    </r>
  </si>
  <si>
    <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=12. T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>/d</t>
    </r>
    <r>
      <rPr>
        <vertAlign val="subscript"/>
        <sz val="10"/>
        <rFont val="Arial"/>
        <family val="2"/>
      </rPr>
      <t>e.</t>
    </r>
    <r>
      <rPr>
        <sz val="10"/>
        <rFont val="Arial"/>
        <family val="2"/>
      </rPr>
      <t>2 - lbf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</si>
  <si>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/cos(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 - lbf</t>
    </r>
  </si>
  <si>
    <t>Torque at pinion:</t>
  </si>
  <si>
    <r>
      <t>T</t>
    </r>
    <r>
      <rPr>
        <vertAlign val="subscript"/>
        <sz val="10"/>
        <rFont val="Arial"/>
        <family val="2"/>
      </rPr>
      <t>q(p)</t>
    </r>
    <r>
      <rPr>
        <sz val="10"/>
        <rFont val="Arial"/>
        <family val="2"/>
      </rPr>
      <t xml:space="preserve"> = 5252.HP/N - lbf.ft</t>
    </r>
  </si>
  <si>
    <r>
      <t>T</t>
    </r>
    <r>
      <rPr>
        <vertAlign val="subscript"/>
        <sz val="10"/>
        <rFont val="Arial"/>
        <family val="2"/>
      </rPr>
      <t>q(g)</t>
    </r>
    <r>
      <rPr>
        <sz val="10"/>
        <rFont val="Arial"/>
        <family val="2"/>
      </rPr>
      <t xml:space="preserve"> = T</t>
    </r>
    <r>
      <rPr>
        <vertAlign val="subscript"/>
        <sz val="10"/>
        <rFont val="Arial"/>
        <family val="2"/>
      </rPr>
      <t>q(p)</t>
    </r>
    <r>
      <rPr>
        <sz val="10"/>
        <rFont val="Arial"/>
        <family val="2"/>
      </rPr>
      <t>.T/t - lbf.ft</t>
    </r>
  </si>
  <si>
    <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(10.5.10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.W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/F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/sin </t>
    </r>
    <r>
      <rPr>
        <sz val="10"/>
        <rFont val="Symbol"/>
        <family val="1"/>
      </rPr>
      <t>y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(1/d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+1/D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))</t>
    </r>
    <r>
      <rPr>
        <vertAlign val="superscript"/>
        <sz val="10"/>
        <rFont val="Arial"/>
        <family val="2"/>
      </rPr>
      <t>-1/2</t>
    </r>
    <r>
      <rPr>
        <sz val="10"/>
        <rFont val="Arial"/>
        <family val="2"/>
      </rPr>
      <t xml:space="preserve"> - lbf/in</t>
    </r>
    <r>
      <rPr>
        <vertAlign val="superscript"/>
        <sz val="10"/>
        <rFont val="Arial"/>
        <family val="2"/>
      </rPr>
      <t>2</t>
    </r>
  </si>
  <si>
    <r>
      <t>invh1=g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0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+w/d/cos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</t>
    </r>
    <r>
      <rPr>
        <sz val="9"/>
        <rFont val="Arial"/>
        <family val="2"/>
      </rPr>
      <t>/t - (enter this 'value' in solver)</t>
    </r>
  </si>
  <si>
    <t>invh1= (enter as 'target cell' in solver)</t>
  </si>
  <si>
    <t>Y' (from chart of modified Lewis form factors)</t>
  </si>
  <si>
    <r>
      <t>invh</t>
    </r>
    <r>
      <rPr>
        <vertAlign val="subscript"/>
        <sz val="9"/>
        <rFont val="Arial"/>
        <family val="2"/>
      </rPr>
      <t>m</t>
    </r>
    <r>
      <rPr>
        <sz val="9"/>
        <rFont val="Arial"/>
        <family val="0"/>
      </rPr>
      <t>=g</t>
    </r>
    <r>
      <rPr>
        <vertAlign val="superscript"/>
        <sz val="9"/>
        <rFont val="Arial"/>
        <family val="2"/>
      </rPr>
      <t>1</t>
    </r>
    <r>
      <rPr>
        <vertAlign val="subscript"/>
        <sz val="9"/>
        <rFont val="Arial"/>
        <family val="2"/>
      </rPr>
      <t>m</t>
    </r>
    <r>
      <rPr>
        <sz val="9"/>
        <rFont val="Arial"/>
        <family val="0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+w/d/cos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</t>
    </r>
    <r>
      <rPr>
        <sz val="9"/>
        <rFont val="Arial"/>
        <family val="2"/>
      </rPr>
      <t>/t - (enter this 'value' in solver)</t>
    </r>
  </si>
  <si>
    <r>
      <t>invh2=g</t>
    </r>
    <r>
      <rPr>
        <vertAlign val="subscript"/>
        <sz val="9"/>
        <rFont val="Arial"/>
        <family val="2"/>
      </rPr>
      <t>max</t>
    </r>
    <r>
      <rPr>
        <sz val="9"/>
        <rFont val="Arial"/>
        <family val="0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+w/d/cos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</t>
    </r>
    <r>
      <rPr>
        <sz val="9"/>
        <rFont val="Arial"/>
        <family val="2"/>
      </rPr>
      <t>/t - (enter this 'value' in solver)</t>
    </r>
  </si>
  <si>
    <r>
      <t>invh3=g</t>
    </r>
    <r>
      <rPr>
        <vertAlign val="subscript"/>
        <sz val="9"/>
        <rFont val="Arial"/>
        <family val="2"/>
      </rPr>
      <t>min</t>
    </r>
    <r>
      <rPr>
        <sz val="9"/>
        <rFont val="Arial"/>
        <family val="0"/>
      </rPr>
      <t>/d+inv</t>
    </r>
    <r>
      <rPr>
        <sz val="9"/>
        <rFont val="Symbol"/>
        <family val="1"/>
      </rPr>
      <t>y</t>
    </r>
    <r>
      <rPr>
        <sz val="9"/>
        <rFont val="Arial"/>
        <family val="2"/>
      </rPr>
      <t>+w//.cos</t>
    </r>
    <r>
      <rPr>
        <sz val="9"/>
        <rFont val="Symbol"/>
        <family val="1"/>
      </rPr>
      <t>y</t>
    </r>
    <r>
      <rPr>
        <sz val="9"/>
        <rFont val="Arial"/>
        <family val="2"/>
      </rPr>
      <t>-</t>
    </r>
    <r>
      <rPr>
        <sz val="9"/>
        <rFont val="Symbol"/>
        <family val="1"/>
      </rPr>
      <t>p</t>
    </r>
    <r>
      <rPr>
        <sz val="9"/>
        <rFont val="Arial"/>
        <family val="2"/>
      </rPr>
      <t>/t - (enter this 'value' in solver)</t>
    </r>
  </si>
  <si>
    <t>invhm= (enter as 'target cell' in solver)</t>
  </si>
  <si>
    <t>invh2= (enter as 'target cell' in solver)</t>
  </si>
  <si>
    <t>invh3= (enter as 'target cell' in solver)</t>
  </si>
  <si>
    <t>h1 - (use as change cell in solver)</t>
  </si>
  <si>
    <r>
      <t>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- (use as change cell in solver)</t>
    </r>
  </si>
  <si>
    <t>h2 - (use as change cell in solver)</t>
  </si>
  <si>
    <t>h3 - (use as change cell in solver)</t>
  </si>
  <si>
    <t>kW</t>
  </si>
  <si>
    <t>Nm</t>
  </si>
  <si>
    <t>mm</t>
  </si>
  <si>
    <t>Module</t>
  </si>
  <si>
    <t>METRIC</t>
  </si>
  <si>
    <r>
      <t>N/mm</t>
    </r>
    <r>
      <rPr>
        <vertAlign val="superscript"/>
        <sz val="10"/>
        <rFont val="Arial"/>
        <family val="2"/>
      </rPr>
      <t>2</t>
    </r>
  </si>
  <si>
    <t>N</t>
  </si>
  <si>
    <t>BASE CIRCLE DIAMETER</t>
  </si>
  <si>
    <t>LEAD ERROR</t>
  </si>
  <si>
    <t>RUNOUT T.I.R.</t>
  </si>
  <si>
    <t>TOOTH TO TOOTH</t>
  </si>
  <si>
    <t>CROWN RISE</t>
  </si>
  <si>
    <t>THINNING FOR BACKLASH</t>
  </si>
  <si>
    <t>OPERATING CENTRE DISTANCE</t>
  </si>
  <si>
    <t>0.006/0.012</t>
  </si>
  <si>
    <t>None</t>
  </si>
  <si>
    <t>MAJOR DIAMETER (REF)</t>
  </si>
  <si>
    <t>MODIFIED EXTERNAL SPUR GEAR DATA</t>
  </si>
  <si>
    <r>
      <t>B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=(1+c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-k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)/P ;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=(1+c1-k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)/P</t>
    </r>
  </si>
  <si>
    <r>
      <t>S</t>
    </r>
    <r>
      <rPr>
        <sz val="10"/>
        <rFont val="Arial"/>
        <family val="2"/>
      </rPr>
      <t>k=C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.P-</t>
    </r>
    <r>
      <rPr>
        <sz val="10"/>
        <rFont val="Symbol"/>
        <family val="1"/>
      </rPr>
      <t>S</t>
    </r>
    <r>
      <rPr>
        <sz val="10"/>
        <rFont val="Arial"/>
        <family val="2"/>
      </rPr>
      <t>T/2</t>
    </r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</si>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</sst>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000"/>
    <numFmt numFmtId="174" formatCode="0.0000000"/>
    <numFmt numFmtId="175" formatCode="0.00000"/>
    <numFmt numFmtId="176" formatCode="0.000"/>
    <numFmt numFmtId="177" formatCode="#\ ?/10"/>
    <numFmt numFmtId="178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sz val="8"/>
      <name val="Symbol"/>
      <family val="1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Symbol"/>
      <family val="1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173" fontId="0" fillId="0" borderId="17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3" fontId="0" fillId="34" borderId="18" xfId="0" applyNumberFormat="1" applyFill="1" applyBorder="1" applyAlignment="1">
      <alignment horizontal="center"/>
    </xf>
    <xf numFmtId="175" fontId="0" fillId="34" borderId="18" xfId="0" applyNumberForma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1" fillId="36" borderId="18" xfId="0" applyFont="1" applyFill="1" applyBorder="1" applyAlignment="1">
      <alignment/>
    </xf>
    <xf numFmtId="176" fontId="1" fillId="36" borderId="18" xfId="0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173" fontId="1" fillId="36" borderId="18" xfId="0" applyNumberFormat="1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8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 vertical="top"/>
    </xf>
    <xf numFmtId="15" fontId="1" fillId="0" borderId="0" xfId="0" applyNumberFormat="1" applyFont="1" applyAlignment="1">
      <alignment vertical="top"/>
    </xf>
    <xf numFmtId="176" fontId="0" fillId="0" borderId="0" xfId="0" applyNumberFormat="1" applyAlignment="1">
      <alignment horizontal="center"/>
    </xf>
    <xf numFmtId="178" fontId="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8" fontId="0" fillId="0" borderId="0" xfId="0" applyNumberFormat="1" applyFill="1" applyAlignment="1">
      <alignment horizontal="center"/>
    </xf>
    <xf numFmtId="2" fontId="1" fillId="37" borderId="20" xfId="0" applyNumberFormat="1" applyFont="1" applyFill="1" applyBorder="1" applyAlignment="1">
      <alignment horizontal="center"/>
    </xf>
    <xf numFmtId="178" fontId="1" fillId="38" borderId="2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12" xfId="0" applyBorder="1" applyAlignment="1">
      <alignment vertical="center"/>
    </xf>
    <xf numFmtId="173" fontId="0" fillId="0" borderId="0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1" fillId="0" borderId="0" xfId="0" applyNumberFormat="1" applyFont="1" applyFill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178" fontId="0" fillId="0" borderId="21" xfId="0" applyNumberFormat="1" applyBorder="1" applyAlignment="1">
      <alignment horizontal="left"/>
    </xf>
    <xf numFmtId="178" fontId="0" fillId="0" borderId="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8" fontId="0" fillId="0" borderId="21" xfId="0" applyNumberFormat="1" applyFill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1" xfId="0" applyNumberFormat="1" applyFon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22" xfId="0" applyFont="1" applyBorder="1" applyAlignment="1">
      <alignment vertical="center"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Font="1" applyAlignment="1">
      <alignment horizontal="right"/>
    </xf>
    <xf numFmtId="0" fontId="1" fillId="39" borderId="18" xfId="0" applyFont="1" applyFill="1" applyBorder="1" applyAlignment="1">
      <alignment vertical="center"/>
    </xf>
    <xf numFmtId="0" fontId="1" fillId="39" borderId="18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172" fontId="1" fillId="39" borderId="18" xfId="0" applyNumberFormat="1" applyFont="1" applyFill="1" applyBorder="1" applyAlignment="1">
      <alignment horizontal="center" vertical="center"/>
    </xf>
    <xf numFmtId="172" fontId="1" fillId="37" borderId="18" xfId="0" applyNumberFormat="1" applyFont="1" applyFill="1" applyBorder="1" applyAlignment="1">
      <alignment horizontal="center" vertical="center"/>
    </xf>
    <xf numFmtId="1" fontId="1" fillId="39" borderId="18" xfId="0" applyNumberFormat="1" applyFont="1" applyFill="1" applyBorder="1" applyAlignment="1">
      <alignment horizontal="center" vertical="center"/>
    </xf>
    <xf numFmtId="172" fontId="1" fillId="39" borderId="19" xfId="0" applyNumberFormat="1" applyFont="1" applyFill="1" applyBorder="1" applyAlignment="1">
      <alignment horizontal="center" vertical="center"/>
    </xf>
    <xf numFmtId="172" fontId="1" fillId="37" borderId="19" xfId="0" applyNumberFormat="1" applyFont="1" applyFill="1" applyBorder="1" applyAlignment="1">
      <alignment horizontal="center" vertical="center"/>
    </xf>
    <xf numFmtId="172" fontId="1" fillId="39" borderId="26" xfId="0" applyNumberFormat="1" applyFont="1" applyFill="1" applyBorder="1" applyAlignment="1">
      <alignment horizontal="center" vertical="center"/>
    </xf>
    <xf numFmtId="172" fontId="1" fillId="37" borderId="26" xfId="0" applyNumberFormat="1" applyFont="1" applyFill="1" applyBorder="1" applyAlignment="1">
      <alignment horizontal="center" vertical="center"/>
    </xf>
    <xf numFmtId="176" fontId="1" fillId="37" borderId="18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vertical="top" wrapText="1"/>
    </xf>
    <xf numFmtId="0" fontId="9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5" fillId="40" borderId="0" xfId="0" applyFont="1" applyFill="1" applyBorder="1" applyAlignment="1">
      <alignment/>
    </xf>
    <xf numFmtId="0" fontId="15" fillId="40" borderId="0" xfId="0" applyFont="1" applyFill="1" applyAlignment="1">
      <alignment/>
    </xf>
    <xf numFmtId="0" fontId="15" fillId="40" borderId="13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37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9" borderId="18" xfId="0" applyFont="1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Gear Tooth Bending Strength Factors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0825"/>
          <c:w val="0.9405"/>
          <c:h val="0.831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'Lewis Factors'!$C$8:$C$37</c:f>
              <c:numCache/>
            </c:numRef>
          </c:cat>
          <c:val>
            <c:numRef>
              <c:f>'Lewis Factors'!$B$8:$B$37</c:f>
              <c:numCache/>
            </c:numRef>
          </c:val>
          <c:smooth val="0"/>
        </c:ser>
        <c:marker val="1"/>
        <c:axId val="63422405"/>
        <c:axId val="33930734"/>
      </c:lineChart>
      <c:catAx>
        <c:axId val="634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Modified Form Lewis Factor Y'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 val="autoZero"/>
        <c:auto val="0"/>
        <c:lblOffset val="100"/>
        <c:tickLblSkip val="2"/>
        <c:noMultiLvlLbl val="0"/>
      </c:catAx>
      <c:valAx>
        <c:axId val="3393073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Teeth in Gear - t ( T 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54</xdr:row>
      <xdr:rowOff>47625</xdr:rowOff>
    </xdr:from>
    <xdr:to>
      <xdr:col>9</xdr:col>
      <xdr:colOff>285750</xdr:colOff>
      <xdr:row>57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9848850"/>
          <a:ext cx="1819275" cy="8477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Closemesh tooth thickness and pin measurement check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209550</xdr:colOff>
      <xdr:row>47</xdr:row>
      <xdr:rowOff>114300</xdr:rowOff>
    </xdr:from>
    <xdr:to>
      <xdr:col>9</xdr:col>
      <xdr:colOff>342900</xdr:colOff>
      <xdr:row>51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96050" y="8296275"/>
          <a:ext cx="1876425" cy="8858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Basic tooth thickness and pin measurement check</a:t>
          </a:r>
        </a:p>
      </xdr:txBody>
    </xdr:sp>
    <xdr:clientData/>
  </xdr:twoCellAnchor>
  <xdr:twoCellAnchor>
    <xdr:from>
      <xdr:col>6</xdr:col>
      <xdr:colOff>209550</xdr:colOff>
      <xdr:row>60</xdr:row>
      <xdr:rowOff>9525</xdr:rowOff>
    </xdr:from>
    <xdr:to>
      <xdr:col>9</xdr:col>
      <xdr:colOff>342900</xdr:colOff>
      <xdr:row>63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96050" y="11163300"/>
          <a:ext cx="1876425" cy="7429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Upper tolerance tooth thickness and pin measurement</a:t>
          </a:r>
        </a:p>
      </xdr:txBody>
    </xdr:sp>
    <xdr:clientData/>
  </xdr:twoCellAnchor>
  <xdr:twoCellAnchor>
    <xdr:from>
      <xdr:col>6</xdr:col>
      <xdr:colOff>209550</xdr:colOff>
      <xdr:row>67</xdr:row>
      <xdr:rowOff>47625</xdr:rowOff>
    </xdr:from>
    <xdr:to>
      <xdr:col>9</xdr:col>
      <xdr:colOff>352425</xdr:colOff>
      <xdr:row>71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96050" y="12677775"/>
          <a:ext cx="1885950" cy="8096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tolerance tooth thickness and pin measurement</a:t>
          </a:r>
        </a:p>
      </xdr:txBody>
    </xdr:sp>
    <xdr:clientData/>
  </xdr:twoCellAnchor>
  <xdr:twoCellAnchor>
    <xdr:from>
      <xdr:col>6</xdr:col>
      <xdr:colOff>57150</xdr:colOff>
      <xdr:row>48</xdr:row>
      <xdr:rowOff>114300</xdr:rowOff>
    </xdr:from>
    <xdr:to>
      <xdr:col>6</xdr:col>
      <xdr:colOff>209550</xdr:colOff>
      <xdr:row>50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6343650" y="8477250"/>
          <a:ext cx="152400" cy="466725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55</xdr:row>
      <xdr:rowOff>57150</xdr:rowOff>
    </xdr:from>
    <xdr:to>
      <xdr:col>7</xdr:col>
      <xdr:colOff>0</xdr:colOff>
      <xdr:row>57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6324600" y="10182225"/>
          <a:ext cx="171450" cy="3429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61</xdr:row>
      <xdr:rowOff>19050</xdr:rowOff>
    </xdr:from>
    <xdr:to>
      <xdr:col>6</xdr:col>
      <xdr:colOff>209550</xdr:colOff>
      <xdr:row>63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6343650" y="11487150"/>
          <a:ext cx="152400" cy="314325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68</xdr:row>
      <xdr:rowOff>47625</xdr:rowOff>
    </xdr:from>
    <xdr:to>
      <xdr:col>6</xdr:col>
      <xdr:colOff>209550</xdr:colOff>
      <xdr:row>70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6334125" y="12868275"/>
          <a:ext cx="161925" cy="495300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57150</xdr:rowOff>
    </xdr:from>
    <xdr:to>
      <xdr:col>9</xdr:col>
      <xdr:colOff>542925</xdr:colOff>
      <xdr:row>45</xdr:row>
      <xdr:rowOff>114300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6391275" y="1343025"/>
          <a:ext cx="2181225" cy="663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on the use of the use of this spreadsheet/program:-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dimensions are in inches.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program does not 'size'  or design gears for strength, durability or wear requirements.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Gears must be initially designed using other methods to satisfy their load,speed and rating capacity.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the overall proportions of a gear or gearset has been estimated, this program enables a detailed analysis and optimization of standard or non-standard gear and tooth geometry, with respect to centre distance, extension, profile shift, tooth thickness, generated backlash, backlash allowance and their effect on overall proportions.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Once optimized, the gear design should be re-checked for strength, durability and wear.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'gearcalc' worksheet computes all the basic gear geometry and inspection data (measumement over pins) in response to minimal input data.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in this master document is an example for testing the program only.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profile shift may be proportioned equally to the pinion and gear, biased, or wholly applied to the pinion only, to more equally balance the strength of pinion and wheel.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root clearance is dictated by the gear classification and method of manufacture.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size of measuring pin may be according to the built-in formula, or selected from available sizes. If the gears are heavily profile shifted, a standard size may not be large enough for the measurement over pins to exceed the major diameter, in which case select a larger pin size.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pin measurement procedure requires the use of Excel's reverse iteration formula solver where noted.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data may be edited to observe the effect on other parameters at any time, but when finalised, the solver must be re-applied to up-date the pin measurements.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basic and close mesh tooth thickness and pin measurement data are for analysis purposes only.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85725</xdr:rowOff>
    </xdr:from>
    <xdr:to>
      <xdr:col>9</xdr:col>
      <xdr:colOff>476250</xdr:colOff>
      <xdr:row>11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38825" y="723900"/>
          <a:ext cx="2228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worksheet takes input and calculated data from the 'gearcalc' sheet to determine the tooth circular thickness at the operating (extended) pitch circle diameter(s).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data is then used to back check the operating PCD's.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Reference only.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85725</xdr:rowOff>
    </xdr:from>
    <xdr:to>
      <xdr:col>7</xdr:col>
      <xdr:colOff>485775</xdr:colOff>
      <xdr:row>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72200" y="247650"/>
          <a:ext cx="17716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worksheet takes the necessary data from preceeding sheets to compute the close mesh centre distance.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Reference only for data checking.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123825</xdr:rowOff>
    </xdr:from>
    <xdr:to>
      <xdr:col>6</xdr:col>
      <xdr:colOff>485775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86175" y="123825"/>
          <a:ext cx="34004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worksheet calculates the tooth crest width (width at the major/outside diameter), using data from preceeding sheets.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an important check for tip durability of hardened teeth.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123825</xdr:rowOff>
    </xdr:from>
    <xdr:to>
      <xdr:col>14</xdr:col>
      <xdr:colOff>323850</xdr:colOff>
      <xdr:row>37</xdr:row>
      <xdr:rowOff>47625</xdr:rowOff>
    </xdr:to>
    <xdr:graphicFrame>
      <xdr:nvGraphicFramePr>
        <xdr:cNvPr id="1" name="Chart 6"/>
        <xdr:cNvGraphicFramePr/>
      </xdr:nvGraphicFramePr>
      <xdr:xfrm>
        <a:off x="1438275" y="600075"/>
        <a:ext cx="68294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38</xdr:row>
      <xdr:rowOff>104775</xdr:rowOff>
    </xdr:from>
    <xdr:to>
      <xdr:col>13</xdr:col>
      <xdr:colOff>238125</xdr:colOff>
      <xdr:row>48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52500" y="5934075"/>
          <a:ext cx="66198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Important conditional notes:-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Y' is a modified Lewis factor for the highest point of single tooth contact.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Y' is for standard proportion gears only.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listed values are for 20° pressure angle gears only, gears generated or operating at other pressure angles have different Y' values.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Y' does not apply to non standard proportion gears, gears operating on extended centres or gear teeth with involute profile modification.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'X' geometry factor should be applied for modified gears, values of which are derived by calculation or gear tooth layout.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8</xdr:col>
      <xdr:colOff>504825</xdr:colOff>
      <xdr:row>41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076700"/>
          <a:ext cx="8420100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 notes :-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notes about the use of Lewis bending factors.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method of stress analysis should only be used for conceptual gear sizing.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accurate strength analysis is possible by determining the 'X' geomerty factor when non standard gear proportions apply.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in depth analysis of gear strength and durability can be determined by applying the methods of Buckingham, Dudley, Merritt, AGMA and/or ISO.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Assuming case carburised and hardened alloy steel gears, the following bending and compressive stress limits may be used in the indicated applications:-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powershift transmissions (with torque converter):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30,000 lbf/in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 design point (0.7speed ratio)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80,000 lbf/in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 stall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200,000 lbf/in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mechanical transmissions: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25,000 lbf/in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industrial applications, accurate service factors should be determined for dynamic, load, life, size, geometry, temperature, lubrication, material, finish, surface and safety.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5"/>
  <sheetViews>
    <sheetView tabSelected="1" zoomScalePageLayoutView="0" workbookViewId="0" topLeftCell="A14">
      <selection activeCell="B20" sqref="B20"/>
    </sheetView>
  </sheetViews>
  <sheetFormatPr defaultColWidth="9.140625" defaultRowHeight="12.75"/>
  <cols>
    <col min="1" max="1" width="29.140625" style="0" customWidth="1"/>
    <col min="2" max="2" width="31.7109375" style="0" customWidth="1"/>
    <col min="3" max="3" width="5.28125" style="18" customWidth="1"/>
    <col min="4" max="4" width="9.57421875" style="3" bestFit="1" customWidth="1"/>
    <col min="5" max="5" width="9.421875" style="3" customWidth="1"/>
    <col min="6" max="6" width="9.140625" style="3" customWidth="1"/>
    <col min="7" max="7" width="3.140625" style="0" customWidth="1"/>
    <col min="8" max="8" width="13.421875" style="0" customWidth="1"/>
    <col min="9" max="9" width="9.57421875" style="0" bestFit="1" customWidth="1"/>
  </cols>
  <sheetData>
    <row r="1" ht="12.75">
      <c r="A1" s="1" t="s">
        <v>0</v>
      </c>
    </row>
    <row r="2" ht="13.5" thickBot="1"/>
    <row r="3" spans="1:6" ht="12.75" thickTop="1">
      <c r="A3" s="132" t="s">
        <v>190</v>
      </c>
      <c r="B3" s="133"/>
      <c r="C3" s="133"/>
      <c r="D3" s="133"/>
      <c r="E3" s="133"/>
      <c r="F3" s="134"/>
    </row>
    <row r="4" spans="1:10" ht="13.5" thickBot="1">
      <c r="A4" s="135"/>
      <c r="B4" s="136"/>
      <c r="C4" s="136"/>
      <c r="D4" s="136"/>
      <c r="E4" s="136"/>
      <c r="F4" s="137"/>
      <c r="H4" s="85" t="s">
        <v>189</v>
      </c>
      <c r="I4" s="86">
        <v>40593</v>
      </c>
      <c r="J4" s="70"/>
    </row>
    <row r="5" spans="8:10" ht="12.75" thickTop="1">
      <c r="H5" s="70"/>
      <c r="I5" s="70"/>
      <c r="J5" s="70"/>
    </row>
    <row r="6" spans="1:10" ht="12">
      <c r="A6" s="138" t="s">
        <v>97</v>
      </c>
      <c r="B6" s="139"/>
      <c r="C6" s="139"/>
      <c r="D6" s="139"/>
      <c r="E6" s="139"/>
      <c r="F6" s="139"/>
      <c r="G6" s="139"/>
      <c r="H6" s="140"/>
      <c r="I6" s="56" t="s">
        <v>98</v>
      </c>
      <c r="J6" s="70"/>
    </row>
    <row r="7" spans="1:9" ht="12">
      <c r="A7" s="69"/>
      <c r="B7" s="69"/>
      <c r="C7" s="69"/>
      <c r="D7" s="69"/>
      <c r="H7" s="131"/>
      <c r="I7" s="131"/>
    </row>
    <row r="8" spans="1:10" ht="12">
      <c r="A8" t="s">
        <v>1</v>
      </c>
      <c r="H8" s="71"/>
      <c r="I8" s="71"/>
      <c r="J8" s="71"/>
    </row>
    <row r="9" spans="3:10" ht="12">
      <c r="C9" s="28"/>
      <c r="H9" s="71"/>
      <c r="I9" s="71"/>
      <c r="J9" s="71"/>
    </row>
    <row r="10" spans="1:10" ht="12">
      <c r="A10" t="s">
        <v>2</v>
      </c>
      <c r="B10" s="73" t="s">
        <v>162</v>
      </c>
      <c r="E10" s="57">
        <v>20</v>
      </c>
      <c r="H10" s="71"/>
      <c r="I10" s="71"/>
      <c r="J10" s="71"/>
    </row>
    <row r="11" spans="2:10" ht="12">
      <c r="B11" t="s">
        <v>3</v>
      </c>
      <c r="E11" s="57">
        <v>38</v>
      </c>
      <c r="H11" s="71"/>
      <c r="I11" s="71"/>
      <c r="J11" s="71"/>
    </row>
    <row r="12" spans="8:10" ht="12">
      <c r="H12" s="71"/>
      <c r="I12" s="71"/>
      <c r="J12" s="71"/>
    </row>
    <row r="13" spans="1:10" ht="12">
      <c r="A13" t="s">
        <v>161</v>
      </c>
      <c r="D13" s="72" t="s">
        <v>23</v>
      </c>
      <c r="H13" s="71"/>
      <c r="I13" s="71"/>
      <c r="J13" s="71"/>
    </row>
    <row r="14" spans="4:10" ht="12">
      <c r="D14" s="72" t="s">
        <v>24</v>
      </c>
      <c r="H14" s="71"/>
      <c r="I14" s="71"/>
      <c r="J14" s="71"/>
    </row>
    <row r="15" spans="8:10" ht="12">
      <c r="H15" s="71"/>
      <c r="I15" s="71"/>
      <c r="J15" s="71"/>
    </row>
    <row r="16" spans="2:10" ht="12.75">
      <c r="B16" s="4" t="s">
        <v>28</v>
      </c>
      <c r="C16" s="4" t="s">
        <v>83</v>
      </c>
      <c r="D16" s="4" t="s">
        <v>16</v>
      </c>
      <c r="E16" s="4" t="s">
        <v>25</v>
      </c>
      <c r="F16" s="4" t="s">
        <v>100</v>
      </c>
      <c r="H16" s="71"/>
      <c r="I16" s="71"/>
      <c r="J16" s="71"/>
    </row>
    <row r="17" spans="1:10" ht="12.75">
      <c r="A17" s="1" t="s">
        <v>4</v>
      </c>
      <c r="D17" s="58" t="s">
        <v>16</v>
      </c>
      <c r="F17" s="58" t="s">
        <v>100</v>
      </c>
      <c r="H17" s="71"/>
      <c r="I17" s="71"/>
      <c r="J17" s="71"/>
    </row>
    <row r="18" spans="1:10" ht="12">
      <c r="A18" t="s">
        <v>15</v>
      </c>
      <c r="B18" t="s">
        <v>43</v>
      </c>
      <c r="D18" s="56">
        <v>25</v>
      </c>
      <c r="F18" s="56">
        <v>50</v>
      </c>
      <c r="H18" s="71"/>
      <c r="I18" s="71"/>
      <c r="J18" s="71"/>
    </row>
    <row r="19" spans="1:10" ht="12">
      <c r="A19" t="s">
        <v>8</v>
      </c>
      <c r="B19" t="s">
        <v>99</v>
      </c>
      <c r="D19" s="3">
        <f>D18/E11</f>
        <v>0.6578947368421053</v>
      </c>
      <c r="F19" s="3">
        <f>F18/E11</f>
        <v>1.3157894736842106</v>
      </c>
      <c r="H19" s="71"/>
      <c r="I19" s="71"/>
      <c r="J19" s="71"/>
    </row>
    <row r="20" spans="1:10" ht="12">
      <c r="A20" t="s">
        <v>6</v>
      </c>
      <c r="B20" t="s">
        <v>251</v>
      </c>
      <c r="C20" s="18" t="s">
        <v>88</v>
      </c>
      <c r="E20" s="3">
        <f>(F18+D18)/2/E11</f>
        <v>0.9868421052631579</v>
      </c>
      <c r="H20" s="71"/>
      <c r="I20" s="71"/>
      <c r="J20" s="71"/>
    </row>
    <row r="21" spans="1:10" ht="15">
      <c r="A21" t="s">
        <v>19</v>
      </c>
      <c r="B21" t="s">
        <v>33</v>
      </c>
      <c r="E21" s="56">
        <v>1</v>
      </c>
      <c r="H21" s="71"/>
      <c r="I21" s="71"/>
      <c r="J21" s="71"/>
    </row>
    <row r="22" spans="1:10" ht="15">
      <c r="A22" t="s">
        <v>20</v>
      </c>
      <c r="B22" t="s">
        <v>72</v>
      </c>
      <c r="D22" s="3">
        <f>2*D18*E21/(D18+F18)</f>
        <v>0.6666666666666666</v>
      </c>
      <c r="F22" s="3">
        <f>2*F18*E21/(D18+F18)</f>
        <v>1.3333333333333333</v>
      </c>
      <c r="H22" s="71"/>
      <c r="I22" s="71"/>
      <c r="J22" s="71"/>
    </row>
    <row r="23" spans="1:10" ht="15">
      <c r="A23" t="s">
        <v>7</v>
      </c>
      <c r="B23" t="s">
        <v>32</v>
      </c>
      <c r="E23" s="3">
        <f>E21-E20</f>
        <v>0.013157894736842146</v>
      </c>
      <c r="H23" s="71"/>
      <c r="I23" s="71"/>
      <c r="J23" s="71"/>
    </row>
    <row r="24" spans="1:10" ht="13.5">
      <c r="A24" t="s">
        <v>9</v>
      </c>
      <c r="B24" s="84" t="s">
        <v>163</v>
      </c>
      <c r="C24" s="18" t="s">
        <v>91</v>
      </c>
      <c r="D24" s="3">
        <f>D19*COS(E10*PI()/180)</f>
        <v>0.6182188294644135</v>
      </c>
      <c r="F24" s="3">
        <f>F19*COS(E10*PI()/180)</f>
        <v>1.236437658928827</v>
      </c>
      <c r="H24" s="71"/>
      <c r="I24" s="71"/>
      <c r="J24" s="71"/>
    </row>
    <row r="25" spans="1:10" ht="15">
      <c r="A25" t="s">
        <v>29</v>
      </c>
      <c r="B25" s="5" t="s">
        <v>250</v>
      </c>
      <c r="C25" s="19"/>
      <c r="E25" s="3">
        <f>E21*E11-(D18+F18)/2</f>
        <v>0.5</v>
      </c>
      <c r="H25" s="71"/>
      <c r="I25" s="71"/>
      <c r="J25" s="71"/>
    </row>
    <row r="26" spans="1:10" ht="15">
      <c r="A26" t="s">
        <v>10</v>
      </c>
      <c r="B26" t="s">
        <v>44</v>
      </c>
      <c r="C26" s="18">
        <v>6.4</v>
      </c>
      <c r="D26" s="56">
        <v>0.25</v>
      </c>
      <c r="F26" s="56">
        <v>0.25</v>
      </c>
      <c r="H26" s="71"/>
      <c r="I26" s="71"/>
      <c r="J26" s="71"/>
    </row>
    <row r="27" spans="1:10" ht="15">
      <c r="A27" t="s">
        <v>37</v>
      </c>
      <c r="B27" t="s">
        <v>55</v>
      </c>
      <c r="C27" s="18" t="s">
        <v>90</v>
      </c>
      <c r="D27" s="87">
        <f>(1+D26)/E11</f>
        <v>0.03289473684210526</v>
      </c>
      <c r="F27" s="87">
        <f>(1+F26)/E11</f>
        <v>0.03289473684210526</v>
      </c>
      <c r="H27" s="71"/>
      <c r="I27" s="71"/>
      <c r="J27" s="71"/>
    </row>
    <row r="28" spans="1:10" ht="14.25">
      <c r="A28" t="s">
        <v>18</v>
      </c>
      <c r="B28" t="s">
        <v>30</v>
      </c>
      <c r="D28" s="87"/>
      <c r="E28" s="56">
        <v>0.4</v>
      </c>
      <c r="F28" s="87"/>
      <c r="H28" s="71"/>
      <c r="I28" s="71"/>
      <c r="J28" s="71"/>
    </row>
    <row r="29" spans="1:10" ht="15.75">
      <c r="A29" t="s">
        <v>11</v>
      </c>
      <c r="B29" s="2" t="s">
        <v>249</v>
      </c>
      <c r="C29" s="20"/>
      <c r="D29" s="87">
        <f>(1+E28-D26)/E11</f>
        <v>0.03026315789473684</v>
      </c>
      <c r="F29" s="87">
        <f>(1+E28-F26)/E11</f>
        <v>0.03026315789473684</v>
      </c>
      <c r="H29" s="71"/>
      <c r="I29" s="71"/>
      <c r="J29" s="71"/>
    </row>
    <row r="30" spans="1:10" ht="12">
      <c r="A30" t="s">
        <v>12</v>
      </c>
      <c r="B30" t="s">
        <v>22</v>
      </c>
      <c r="D30" s="87">
        <f>D27+D29</f>
        <v>0.06315789473684211</v>
      </c>
      <c r="F30" s="87">
        <f>F27+F29</f>
        <v>0.06315789473684211</v>
      </c>
      <c r="H30" s="71"/>
      <c r="I30" s="71"/>
      <c r="J30" s="71"/>
    </row>
    <row r="31" spans="1:10" ht="15">
      <c r="A31" t="s">
        <v>13</v>
      </c>
      <c r="B31" t="s">
        <v>122</v>
      </c>
      <c r="D31" s="87">
        <f>D19+2*D27</f>
        <v>0.7236842105263158</v>
      </c>
      <c r="F31" s="87">
        <f>F19+2*F27</f>
        <v>1.3815789473684212</v>
      </c>
      <c r="H31" s="71"/>
      <c r="I31" s="71"/>
      <c r="J31" s="71"/>
    </row>
    <row r="32" spans="1:10" ht="15">
      <c r="A32" t="s">
        <v>14</v>
      </c>
      <c r="B32" t="s">
        <v>56</v>
      </c>
      <c r="D32" s="87">
        <f>D19-2*D29</f>
        <v>0.5973684210526317</v>
      </c>
      <c r="F32" s="87">
        <f>F19-2*F29</f>
        <v>1.2552631578947369</v>
      </c>
      <c r="H32" s="71"/>
      <c r="I32" s="71"/>
      <c r="J32" s="71"/>
    </row>
    <row r="33" spans="1:10" ht="12">
      <c r="A33" t="s">
        <v>59</v>
      </c>
      <c r="B33" s="73" t="s">
        <v>164</v>
      </c>
      <c r="E33" s="6">
        <f>PI()/2/E11</f>
        <v>0.04133674544197096</v>
      </c>
      <c r="H33" s="71"/>
      <c r="I33" s="71"/>
      <c r="J33" s="71"/>
    </row>
    <row r="34" ht="12">
      <c r="E34" s="6"/>
    </row>
    <row r="35" spans="1:5" ht="12">
      <c r="A35" t="s">
        <v>5</v>
      </c>
      <c r="B35" t="s">
        <v>21</v>
      </c>
      <c r="E35" s="3">
        <f>F18/D18</f>
        <v>2</v>
      </c>
    </row>
    <row r="37" spans="1:5" ht="12">
      <c r="A37" t="s">
        <v>38</v>
      </c>
      <c r="B37" s="74" t="s">
        <v>165</v>
      </c>
      <c r="C37" s="20" t="s">
        <v>86</v>
      </c>
      <c r="E37" s="6">
        <f>TAN(E10*PI()/180)-E10*PI()/180</f>
        <v>0.014904383867336446</v>
      </c>
    </row>
    <row r="38" spans="1:5" ht="15.75">
      <c r="A38" t="s">
        <v>39</v>
      </c>
      <c r="B38" s="5" t="s">
        <v>144</v>
      </c>
      <c r="C38" s="20" t="s">
        <v>89</v>
      </c>
      <c r="E38" s="6">
        <f>ACOS(E20/E21*COS(E10*PI()/180))*180/PI()</f>
        <v>21.97790517647027</v>
      </c>
    </row>
    <row r="39" spans="1:5" ht="13.5">
      <c r="A39" t="s">
        <v>40</v>
      </c>
      <c r="B39" s="74" t="s">
        <v>166</v>
      </c>
      <c r="C39" s="20" t="s">
        <v>86</v>
      </c>
      <c r="E39" s="3">
        <f>TAN(E38*PI()/180)-E38*PI()/180</f>
        <v>0.019990911516474696</v>
      </c>
    </row>
    <row r="40" spans="2:3" ht="12">
      <c r="B40" s="2"/>
      <c r="C40" s="20"/>
    </row>
    <row r="41" spans="1:6" ht="15">
      <c r="A41" t="s">
        <v>41</v>
      </c>
      <c r="B41" t="s">
        <v>34</v>
      </c>
      <c r="C41" s="18">
        <v>6.28</v>
      </c>
      <c r="D41" s="22"/>
      <c r="E41" s="56">
        <v>0.01</v>
      </c>
      <c r="F41" s="22"/>
    </row>
    <row r="42" spans="1:6" ht="24.75">
      <c r="A42" s="7" t="s">
        <v>73</v>
      </c>
      <c r="B42" s="75" t="s">
        <v>167</v>
      </c>
      <c r="C42" s="17" t="s">
        <v>84</v>
      </c>
      <c r="D42" s="9"/>
      <c r="E42" s="9">
        <f>(D19+F19)*COS(E10*PI()/180)*(E39-E37)-2*E23*SIN(E10*PI()/180)</f>
        <v>0.000433231420348245</v>
      </c>
      <c r="F42" s="9"/>
    </row>
    <row r="43" spans="1:6" ht="27.75">
      <c r="A43" s="7" t="s">
        <v>92</v>
      </c>
      <c r="B43" s="76" t="s">
        <v>168</v>
      </c>
      <c r="C43" s="17">
        <v>6.25</v>
      </c>
      <c r="D43" s="9"/>
      <c r="E43" s="9">
        <f>E42/COS(E10*PI()/180)</f>
        <v>0.0004610352478727709</v>
      </c>
      <c r="F43" s="9"/>
    </row>
    <row r="44" spans="1:6" ht="15">
      <c r="A44" t="s">
        <v>36</v>
      </c>
      <c r="B44" t="s">
        <v>57</v>
      </c>
      <c r="C44" s="18" t="s">
        <v>85</v>
      </c>
      <c r="D44" s="3">
        <f>(E41-E42)/2</f>
        <v>0.004783384289825878</v>
      </c>
      <c r="F44" s="3">
        <f>(E41-E42)/2</f>
        <v>0.004783384289825878</v>
      </c>
    </row>
    <row r="46" spans="1:6" ht="12">
      <c r="A46" t="s">
        <v>26</v>
      </c>
      <c r="B46" t="s">
        <v>46</v>
      </c>
      <c r="C46" s="18">
        <v>4.14</v>
      </c>
      <c r="D46" s="57">
        <v>0.1728</v>
      </c>
      <c r="E46" s="59"/>
      <c r="F46" s="56">
        <v>0.1728</v>
      </c>
    </row>
    <row r="48" spans="1:6" ht="14.25">
      <c r="A48" s="99" t="s">
        <v>35</v>
      </c>
      <c r="B48" s="98" t="s">
        <v>169</v>
      </c>
      <c r="C48" s="100" t="s">
        <v>87</v>
      </c>
      <c r="D48" s="37">
        <f>(PI()/2+2*D26*TAN(E10*PI()/180))/E11</f>
        <v>0.046125827471789414</v>
      </c>
      <c r="E48" s="25"/>
      <c r="F48" s="101">
        <f>(PI()/2+2*F26*TAN(E10*PI()/180))/E11</f>
        <v>0.046125827471789414</v>
      </c>
    </row>
    <row r="49" spans="1:6" ht="24.75">
      <c r="A49" s="95" t="s">
        <v>42</v>
      </c>
      <c r="B49" s="94" t="s">
        <v>218</v>
      </c>
      <c r="C49" s="28"/>
      <c r="D49" s="96">
        <f>D48/D19+E37+D46/D19/COS(E10*PI()/180)-PI()/D18</f>
        <v>0.23886461248829777</v>
      </c>
      <c r="E49" s="30"/>
      <c r="F49" s="97">
        <f>F48/F19+E37+F46/F19/COS(E10*PI()/180)-PI()/F18</f>
        <v>0.1268844981778171</v>
      </c>
    </row>
    <row r="50" spans="1:6" ht="12">
      <c r="A50" s="26"/>
      <c r="B50" s="27" t="s">
        <v>219</v>
      </c>
      <c r="C50" s="28"/>
      <c r="D50" s="60">
        <f>TAN(D51*PI()/180)-D51*PI()/180</f>
        <v>0.041341805726833325</v>
      </c>
      <c r="E50" s="30"/>
      <c r="F50" s="60">
        <f>TAN(F51*PI()/180)-F51*PI()/180</f>
        <v>0.036054555403518485</v>
      </c>
    </row>
    <row r="51" spans="1:6" ht="12">
      <c r="A51" s="26" t="s">
        <v>45</v>
      </c>
      <c r="B51" s="27" t="s">
        <v>227</v>
      </c>
      <c r="C51" s="28"/>
      <c r="D51" s="56">
        <v>27.655488978767707</v>
      </c>
      <c r="E51" s="32"/>
      <c r="F51" s="56">
        <v>26.496588053787185</v>
      </c>
    </row>
    <row r="52" spans="1:6" ht="27" customHeight="1">
      <c r="A52" s="33" t="s">
        <v>27</v>
      </c>
      <c r="B52" s="77" t="s">
        <v>170</v>
      </c>
      <c r="C52" s="34"/>
      <c r="D52" s="35">
        <f>IF(D18/2&lt;&gt;INT(D18/2),D18/E11*COS(E10*PI()/180)/COS(D51*PI()/180)*COS(PI()/2/D18)+D46,D18/E11*COS(E10*PI()/180)/COS(D51*PI()/180)+D46)</f>
        <v>0.8693800698405967</v>
      </c>
      <c r="E52" s="35"/>
      <c r="F52" s="45">
        <f>IF(F18/2&lt;&gt;INT(F18/2),F18/E11*COS(E10*PI()/180)/COS(F51*PI()/180)*COS(PI()/2/F18)+F46,F18/E11*COS(E10*PI()/180)/COS(F51*PI()/180)+F46)</f>
        <v>1.5543548993897027</v>
      </c>
    </row>
    <row r="54" spans="1:6" ht="24.75">
      <c r="A54" s="36" t="s">
        <v>93</v>
      </c>
      <c r="B54" s="78" t="s">
        <v>171</v>
      </c>
      <c r="C54" s="24"/>
      <c r="D54" s="37">
        <f>D48+E43/2</f>
        <v>0.0463563450957258</v>
      </c>
      <c r="E54" s="37"/>
      <c r="F54" s="46">
        <f>F48+E43/2</f>
        <v>0.0463563450957258</v>
      </c>
    </row>
    <row r="55" spans="1:6" ht="25.5">
      <c r="A55" s="26" t="s">
        <v>42</v>
      </c>
      <c r="B55" s="94" t="s">
        <v>221</v>
      </c>
      <c r="C55" s="28"/>
      <c r="D55" s="30">
        <f>D54/D19+E37+D46/D19/COS(E10*PI()/180)-PI()/D18</f>
        <v>0.23921499927668105</v>
      </c>
      <c r="E55" s="30"/>
      <c r="F55" s="31">
        <f>F54/F19+E37+F46/F19/COS(E10*PI()/180)-PI()/F18</f>
        <v>0.12705969157200878</v>
      </c>
    </row>
    <row r="56" spans="1:6" ht="12">
      <c r="A56" s="26"/>
      <c r="B56" s="27" t="s">
        <v>224</v>
      </c>
      <c r="C56" s="28"/>
      <c r="D56" s="56">
        <f>TAN(D57*PI()/180)-D57*PI()/180</f>
        <v>0.04134160806521636</v>
      </c>
      <c r="E56" s="30"/>
      <c r="F56" s="60">
        <f>TAN(F57*PI()/180)-F57*PI()/180</f>
        <v>0.03605445738739299</v>
      </c>
    </row>
    <row r="57" spans="1:6" ht="15">
      <c r="A57" s="26" t="s">
        <v>45</v>
      </c>
      <c r="B57" s="27" t="s">
        <v>228</v>
      </c>
      <c r="C57" s="28"/>
      <c r="D57" s="56">
        <v>27.6554477359704</v>
      </c>
      <c r="E57" s="32"/>
      <c r="F57" s="61">
        <v>26.496565455390815</v>
      </c>
    </row>
    <row r="58" spans="1:6" ht="27">
      <c r="A58" s="39" t="s">
        <v>94</v>
      </c>
      <c r="B58" s="79" t="s">
        <v>172</v>
      </c>
      <c r="C58" s="44"/>
      <c r="D58" s="35">
        <f>IF(D18/2&lt;&gt;INT(D18/2),D18/E11*COS(E10*PI()/180)/COS(D57*PI()/180)*COS(PI()/2/D18)+D46,D18/E11*COS(E10*PI()/180)/COS(D57*PI()/180)+D46)</f>
        <v>0.8693798070892955</v>
      </c>
      <c r="E58" s="35"/>
      <c r="F58" s="47">
        <f>IF(F18/2&lt;&gt;INT(F18/2),F18/E11*COS(E10*PI()/180)/COS(F57*PI()/180)*COS(PI()/2/F18)+F46,F18/E11*COS(E10*PI()/180)/COS(F57*PI()/180)+F46)</f>
        <v>1.5543546277493003</v>
      </c>
    </row>
    <row r="60" spans="1:6" ht="14.25">
      <c r="A60" s="23" t="s">
        <v>47</v>
      </c>
      <c r="B60" s="80" t="s">
        <v>173</v>
      </c>
      <c r="C60" s="42"/>
      <c r="D60" s="25">
        <f>D48-D44</f>
        <v>0.041342443181963534</v>
      </c>
      <c r="E60" s="25"/>
      <c r="F60" s="50">
        <f>F48-F44</f>
        <v>0.041342443181963534</v>
      </c>
    </row>
    <row r="61" spans="1:6" ht="24.75">
      <c r="A61" s="26" t="s">
        <v>42</v>
      </c>
      <c r="B61" s="94" t="s">
        <v>222</v>
      </c>
      <c r="C61" s="28"/>
      <c r="D61" s="29">
        <f>D60/D19+E37+D46/D19/COS(E10*PI()/180)-PI()/D18</f>
        <v>0.2315938683677624</v>
      </c>
      <c r="E61" s="30"/>
      <c r="F61" s="31">
        <f>F60/F19+E37+F46/F19/COS(E10*PI()/180)-PI()/F18</f>
        <v>0.12324912611754943</v>
      </c>
    </row>
    <row r="62" spans="1:6" ht="12">
      <c r="A62" s="26"/>
      <c r="B62" s="27" t="s">
        <v>225</v>
      </c>
      <c r="C62" s="28"/>
      <c r="D62" s="60">
        <f>TAN(D63*PI()/180)-D63*PI()/180</f>
        <v>0.026185577289807582</v>
      </c>
      <c r="E62" s="30"/>
      <c r="F62" s="60">
        <f>TAN(F63*PI()/180)-F63*PI()/180</f>
        <v>0.020966136354611475</v>
      </c>
    </row>
    <row r="63" spans="1:6" ht="12">
      <c r="A63" s="26" t="s">
        <v>45</v>
      </c>
      <c r="B63" s="27" t="s">
        <v>229</v>
      </c>
      <c r="C63" s="28"/>
      <c r="D63" s="56">
        <v>23.952466286400107</v>
      </c>
      <c r="E63" s="32"/>
      <c r="F63" s="56">
        <v>22.315204367562302</v>
      </c>
    </row>
    <row r="64" spans="1:6" ht="27">
      <c r="A64" s="33" t="s">
        <v>48</v>
      </c>
      <c r="B64" s="77" t="s">
        <v>174</v>
      </c>
      <c r="C64" s="34"/>
      <c r="D64" s="68">
        <f>IF(D18/2&lt;&gt;INT(D18/2),D18/E11*COS(E10*PI()/180)/COS(D63*PI()/180)*COS(PI()/2/D18)+D46,D18/E11*COS(E10*PI()/180)/COS(D63*PI()/180)+D46)</f>
        <v>0.8479402525093105</v>
      </c>
      <c r="E64" s="40"/>
      <c r="F64" s="68">
        <f>IF(F18/2&lt;&gt;INT(F18/2),F18/E11*COS(E10*PI()/180)/COS(F63*PI()/180)*COS(PI()/2/F18)+F46,F18/E11*COS(E10*PI()/180)/COS(F63*PI()/180)+F46)</f>
        <v>1.5093318800633149</v>
      </c>
    </row>
    <row r="67" spans="1:6" ht="15">
      <c r="A67" s="23" t="s">
        <v>49</v>
      </c>
      <c r="B67" s="41" t="s">
        <v>50</v>
      </c>
      <c r="C67" s="24">
        <v>6.28</v>
      </c>
      <c r="D67" s="56">
        <v>0.002</v>
      </c>
      <c r="E67" s="25"/>
      <c r="F67" s="56">
        <v>0.002</v>
      </c>
    </row>
    <row r="68" spans="1:6" ht="15">
      <c r="A68" s="26" t="s">
        <v>51</v>
      </c>
      <c r="B68" s="27" t="s">
        <v>52</v>
      </c>
      <c r="C68" s="28"/>
      <c r="D68" s="30">
        <f>D60-D67</f>
        <v>0.03934244318196353</v>
      </c>
      <c r="E68" s="30"/>
      <c r="F68" s="38">
        <f>F60-F67</f>
        <v>0.03934244318196353</v>
      </c>
    </row>
    <row r="69" spans="1:6" ht="24.75">
      <c r="A69" s="26" t="s">
        <v>42</v>
      </c>
      <c r="B69" s="94" t="s">
        <v>223</v>
      </c>
      <c r="C69" s="28"/>
      <c r="D69" s="29">
        <f>D68/D19+E37+D46/D19/COS(E10*PI()/180)-PI()/D18</f>
        <v>0.22855386836776242</v>
      </c>
      <c r="E69" s="30"/>
      <c r="F69" s="31">
        <f>F68/F19+E37+F46/F19/COS(E10*PI()/180)-PI()/F18</f>
        <v>0.12172912611754944</v>
      </c>
    </row>
    <row r="70" spans="1:6" ht="12">
      <c r="A70" s="26"/>
      <c r="B70" s="27" t="s">
        <v>226</v>
      </c>
      <c r="C70" s="28"/>
      <c r="D70" s="60">
        <f>TAN(D71*PI()/180)-D71*PI()/180</f>
        <v>0.025630293641557</v>
      </c>
      <c r="E70" s="30"/>
      <c r="F70" s="60">
        <f>TAN(F71*PI()/180)-F71*PI()/180</f>
        <v>0.02066718431689285</v>
      </c>
    </row>
    <row r="71" spans="1:6" ht="12">
      <c r="A71" s="26" t="s">
        <v>45</v>
      </c>
      <c r="B71" s="27" t="s">
        <v>230</v>
      </c>
      <c r="C71" s="28"/>
      <c r="D71" s="60">
        <v>23.790011539358552</v>
      </c>
      <c r="E71" s="30"/>
      <c r="F71" s="61">
        <v>22.213009052470724</v>
      </c>
    </row>
    <row r="72" spans="1:6" s="8" customFormat="1" ht="27">
      <c r="A72" s="33" t="s">
        <v>53</v>
      </c>
      <c r="B72" s="79" t="s">
        <v>175</v>
      </c>
      <c r="C72" s="43"/>
      <c r="D72" s="68">
        <f>IF(D18/2&lt;&gt;INT(D18/2),D18/E11*COS(E10*PI()/180)/COS(D71*PI()/180)*COS(PI()/2/D18)+D46,D18/E11*COS(E10*PI()/180)/COS(D71*PI()/180)+D46)</f>
        <v>0.8470936436101193</v>
      </c>
      <c r="E72" s="35"/>
      <c r="F72" s="68">
        <f>IF(F18/2&lt;&gt;INT(F18/2),F18/E11*COS(E10*PI()/180)/COS(F71*PI()/180)*COS(PI()/2/F18)+F46,F18/E11*COS(E10*PI()/180)/COS(F71*PI()/180)+F46)</f>
        <v>1.5083562723291633</v>
      </c>
    </row>
    <row r="74" ht="12">
      <c r="B74" s="118"/>
    </row>
    <row r="75" ht="12">
      <c r="B75" s="118"/>
    </row>
  </sheetData>
  <sheetProtection/>
  <mergeCells count="3">
    <mergeCell ref="H7:I7"/>
    <mergeCell ref="A3:F4"/>
    <mergeCell ref="A6:H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r:id="rId2"/>
  <headerFooter alignWithMargins="0">
    <oddHeader>&amp;L©aegw&amp;R&amp;D</oddHeader>
    <oddFooter>&amp;L&amp;F&amp;C&amp;P&amp;R&amp;A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5"/>
  <sheetViews>
    <sheetView zoomScalePageLayoutView="0" workbookViewId="0" topLeftCell="L1">
      <selection activeCell="D15" sqref="D15"/>
    </sheetView>
  </sheetViews>
  <sheetFormatPr defaultColWidth="9.140625" defaultRowHeight="12.75"/>
  <cols>
    <col min="1" max="1" width="28.7109375" style="0" customWidth="1"/>
    <col min="2" max="2" width="24.8515625" style="0" customWidth="1"/>
    <col min="3" max="3" width="4.421875" style="14" customWidth="1"/>
    <col min="4" max="4" width="9.57421875" style="3" bestFit="1" customWidth="1"/>
    <col min="5" max="5" width="9.28125" style="3" customWidth="1"/>
    <col min="6" max="6" width="9.57421875" style="3" bestFit="1" customWidth="1"/>
  </cols>
  <sheetData>
    <row r="1" ht="12.75">
      <c r="A1" s="1" t="s">
        <v>65</v>
      </c>
    </row>
    <row r="3" ht="12">
      <c r="A3" t="s">
        <v>58</v>
      </c>
    </row>
    <row r="5" spans="2:6" ht="12.75">
      <c r="B5" s="4" t="s">
        <v>28</v>
      </c>
      <c r="C5" s="4" t="s">
        <v>80</v>
      </c>
      <c r="D5" s="4" t="s">
        <v>16</v>
      </c>
      <c r="E5" s="4" t="s">
        <v>25</v>
      </c>
      <c r="F5" s="4" t="s">
        <v>17</v>
      </c>
    </row>
    <row r="6" spans="1:6" ht="12.75">
      <c r="A6" s="1" t="s">
        <v>4</v>
      </c>
      <c r="D6" s="4" t="str">
        <f>gearcalc!D17</f>
        <v>Pinion</v>
      </c>
      <c r="F6" s="4" t="str">
        <f>gearcalc!F17</f>
        <v>Wheel</v>
      </c>
    </row>
    <row r="7" spans="1:6" ht="12">
      <c r="A7" s="2" t="str">
        <f>gearcalc!A18</f>
        <v>Number of teeth:</v>
      </c>
      <c r="B7" t="s">
        <v>60</v>
      </c>
      <c r="D7" s="10">
        <f>gearcalc!D18</f>
        <v>25</v>
      </c>
      <c r="F7" s="10">
        <f>gearcalc!F18</f>
        <v>50</v>
      </c>
    </row>
    <row r="8" spans="1:6" ht="12.75">
      <c r="A8" t="s">
        <v>69</v>
      </c>
      <c r="B8" t="s">
        <v>61</v>
      </c>
      <c r="D8" s="4"/>
      <c r="E8" s="3">
        <f>gearcalc!E11</f>
        <v>38</v>
      </c>
      <c r="F8" s="4"/>
    </row>
    <row r="9" spans="1:6" ht="12.75">
      <c r="A9" s="2" t="s">
        <v>68</v>
      </c>
      <c r="B9" s="5" t="s">
        <v>62</v>
      </c>
      <c r="C9" s="15"/>
      <c r="D9" s="4"/>
      <c r="E9" s="3">
        <f>gearcalc!E10</f>
        <v>20</v>
      </c>
      <c r="F9" s="4"/>
    </row>
    <row r="10" spans="1:5" ht="12">
      <c r="A10" t="str">
        <f>gearcalc!A33</f>
        <v>Arc tooth thickness (Std.):</v>
      </c>
      <c r="B10" t="str">
        <f>gearcalc!B33</f>
        <v>g=p/2/P</v>
      </c>
      <c r="E10" s="3">
        <f>gearcalc!E33</f>
        <v>0.04133674544197096</v>
      </c>
    </row>
    <row r="11" spans="1:5" ht="15">
      <c r="A11" t="str">
        <f>gearcalc!A21</f>
        <v>Extended centre distance:</v>
      </c>
      <c r="B11" t="s">
        <v>63</v>
      </c>
      <c r="E11" s="3">
        <f>gearcalc!E21</f>
        <v>1</v>
      </c>
    </row>
    <row r="12" spans="1:5" ht="12">
      <c r="A12" t="str">
        <f>gearcalc!A20</f>
        <v>Centre distance (Std.):</v>
      </c>
      <c r="B12" t="s">
        <v>64</v>
      </c>
      <c r="E12" s="11">
        <f>gearcalc!E20</f>
        <v>0.9868421052631579</v>
      </c>
    </row>
    <row r="13" spans="1:5" ht="15.75">
      <c r="A13" t="s">
        <v>67</v>
      </c>
      <c r="B13" s="5" t="s">
        <v>31</v>
      </c>
      <c r="C13" s="15"/>
      <c r="E13" s="3">
        <f>gearcalc!E38</f>
        <v>21.97790517647027</v>
      </c>
    </row>
    <row r="14" spans="1:6" ht="12">
      <c r="A14" t="str">
        <f>gearcalc!A19</f>
        <v>Pitch circle dia (Std.):</v>
      </c>
      <c r="B14" t="str">
        <f>gearcalc!B19</f>
        <v>d=t/P ; D=T/P</v>
      </c>
      <c r="D14" s="3">
        <f>gearcalc!D19</f>
        <v>0.6578947368421053</v>
      </c>
      <c r="F14" s="3">
        <f>gearcalc!F19</f>
        <v>1.3157894736842106</v>
      </c>
    </row>
    <row r="15" spans="1:6" ht="15">
      <c r="A15" t="s">
        <v>70</v>
      </c>
      <c r="B15" t="s">
        <v>66</v>
      </c>
      <c r="D15" s="3">
        <f>2*D7/(D7+F7)*E11</f>
        <v>0.6666666666666666</v>
      </c>
      <c r="F15" s="3">
        <f>2*F7/(D7+F7)*E11</f>
        <v>1.3333333333333333</v>
      </c>
    </row>
    <row r="16" spans="1:5" ht="12">
      <c r="A16" t="str">
        <f>gearcalc!A37</f>
        <v>Involute function of std.press.ang.:</v>
      </c>
      <c r="B16" s="73" t="s">
        <v>165</v>
      </c>
      <c r="E16" s="3">
        <f>TAN(E9*PI()/180)-PI()*E9/180</f>
        <v>0.014904383867336446</v>
      </c>
    </row>
    <row r="17" spans="1:5" ht="13.5">
      <c r="A17" t="str">
        <f>gearcalc!A39</f>
        <v>Involute function of ext.press.ang.:</v>
      </c>
      <c r="B17" s="73" t="s">
        <v>166</v>
      </c>
      <c r="E17" s="11">
        <f>TAN(E13*PI()/180)-PI()*E13/180</f>
        <v>0.019990911516474696</v>
      </c>
    </row>
    <row r="18" spans="1:6" ht="24.75">
      <c r="A18" s="7" t="s">
        <v>96</v>
      </c>
      <c r="B18" s="75" t="s">
        <v>169</v>
      </c>
      <c r="C18" s="16" t="s">
        <v>87</v>
      </c>
      <c r="D18" s="9">
        <f>gearcalc!D54</f>
        <v>0.0463563450957258</v>
      </c>
      <c r="E18" s="21"/>
      <c r="F18" s="9">
        <f>gearcalc!F54</f>
        <v>0.0463563450957258</v>
      </c>
    </row>
    <row r="19" spans="1:6" ht="39">
      <c r="A19" s="13" t="s">
        <v>95</v>
      </c>
      <c r="B19" s="81" t="s">
        <v>176</v>
      </c>
      <c r="C19" s="17" t="s">
        <v>81</v>
      </c>
      <c r="D19" s="68">
        <f>D15*(D18/D14+E16-E17)</f>
        <v>0.04358341126424331</v>
      </c>
      <c r="E19" s="9"/>
      <c r="F19" s="68">
        <f>F15*(F18/F14+E16-E17)</f>
        <v>0.04019239283148447</v>
      </c>
    </row>
    <row r="20" spans="1:6" ht="37.5">
      <c r="A20" s="13" t="s">
        <v>82</v>
      </c>
      <c r="B20" s="82" t="s">
        <v>177</v>
      </c>
      <c r="C20" s="17"/>
      <c r="D20" s="9">
        <f>(D19+F19)*D7/PI()</f>
        <v>0.6666666666666663</v>
      </c>
      <c r="F20" s="9">
        <f>(D19+F19)*F7/PI()</f>
        <v>1.3333333333333326</v>
      </c>
    </row>
    <row r="21" spans="1:6" ht="12">
      <c r="A21" s="7"/>
      <c r="B21" s="12"/>
      <c r="C21" s="17"/>
      <c r="D21" s="9"/>
      <c r="E21" s="9"/>
      <c r="F21" s="9"/>
    </row>
    <row r="23" spans="1:6" ht="12">
      <c r="A23" s="7"/>
      <c r="B23" s="12"/>
      <c r="C23" s="17"/>
      <c r="D23" s="11"/>
      <c r="F23" s="11"/>
    </row>
    <row r="30" spans="1:6" ht="12">
      <c r="A30" s="7"/>
      <c r="B30" s="8"/>
      <c r="C30" s="16"/>
      <c r="D30" s="9"/>
      <c r="E30" s="9"/>
      <c r="F30" s="9"/>
    </row>
    <row r="31" spans="2:3" ht="12">
      <c r="B31" s="5"/>
      <c r="C31" s="15"/>
    </row>
    <row r="35" spans="2:3" ht="12">
      <c r="B35" s="5"/>
      <c r="C35" s="15"/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Header>&amp;LRicardo Inc confidential ©aegw&amp;R&amp;D</oddHeader>
    <oddFooter>&amp;L&amp;F&amp;C&amp;N&amp;R&amp;A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8.57421875" style="0" customWidth="1"/>
    <col min="2" max="2" width="35.00390625" style="0" customWidth="1"/>
    <col min="7" max="7" width="11.7109375" style="0" customWidth="1"/>
  </cols>
  <sheetData>
    <row r="1" spans="1:5" ht="12.75">
      <c r="A1" s="1" t="s">
        <v>75</v>
      </c>
      <c r="C1" s="3"/>
      <c r="D1" s="3"/>
      <c r="E1" s="3"/>
    </row>
    <row r="2" spans="1:5" ht="12.75">
      <c r="A2" s="1" t="s">
        <v>74</v>
      </c>
      <c r="C2" s="3"/>
      <c r="D2" s="3"/>
      <c r="E2" s="3"/>
    </row>
    <row r="3" spans="1:5" ht="12.75">
      <c r="A3" s="1"/>
      <c r="C3" s="3"/>
      <c r="D3" s="3"/>
      <c r="E3" s="3"/>
    </row>
    <row r="4" spans="1:5" ht="12">
      <c r="A4" t="s">
        <v>2</v>
      </c>
      <c r="B4" s="73" t="s">
        <v>162</v>
      </c>
      <c r="C4" s="3"/>
      <c r="D4" s="3">
        <f>gearcalc!E10</f>
        <v>20</v>
      </c>
      <c r="E4" s="3"/>
    </row>
    <row r="5" spans="2:5" ht="12">
      <c r="B5" t="s">
        <v>3</v>
      </c>
      <c r="C5" s="3"/>
      <c r="D5" s="3">
        <f>gearcalc!E11</f>
        <v>38</v>
      </c>
      <c r="E5" s="3"/>
    </row>
    <row r="6" spans="1:5" ht="12.75">
      <c r="A6" s="1"/>
      <c r="C6" s="3"/>
      <c r="D6" s="3"/>
      <c r="E6" s="3"/>
    </row>
    <row r="7" spans="1:5" ht="12">
      <c r="A7" t="s">
        <v>58</v>
      </c>
      <c r="C7" s="3"/>
      <c r="D7" s="3"/>
      <c r="E7" s="3"/>
    </row>
    <row r="8" spans="3:5" ht="12">
      <c r="C8" s="3"/>
      <c r="D8" s="3"/>
      <c r="E8" s="3"/>
    </row>
    <row r="9" spans="2:5" ht="12.75">
      <c r="B9" s="4" t="s">
        <v>28</v>
      </c>
      <c r="C9" s="4" t="s">
        <v>16</v>
      </c>
      <c r="D9" s="4" t="s">
        <v>25</v>
      </c>
      <c r="E9" s="4" t="s">
        <v>17</v>
      </c>
    </row>
    <row r="10" spans="1:5" ht="12.75">
      <c r="A10" s="1" t="s">
        <v>4</v>
      </c>
      <c r="C10" s="4" t="str">
        <f>gearcalc!D17</f>
        <v>Pinion</v>
      </c>
      <c r="D10" s="3"/>
      <c r="E10" s="4" t="str">
        <f>gearcalc!F17</f>
        <v>Wheel</v>
      </c>
    </row>
    <row r="11" spans="1:5" ht="12">
      <c r="A11" t="s">
        <v>15</v>
      </c>
      <c r="B11" t="s">
        <v>43</v>
      </c>
      <c r="C11" s="3">
        <f>gearcalc!D18</f>
        <v>25</v>
      </c>
      <c r="D11" s="3"/>
      <c r="E11" s="3">
        <f>gearcalc!F18</f>
        <v>50</v>
      </c>
    </row>
    <row r="12" spans="1:5" ht="12">
      <c r="A12" t="s">
        <v>8</v>
      </c>
      <c r="B12" t="s">
        <v>54</v>
      </c>
      <c r="C12">
        <f>gearcalc!D19</f>
        <v>0.6578947368421053</v>
      </c>
      <c r="E12">
        <f>gearcalc!F19</f>
        <v>1.3157894736842106</v>
      </c>
    </row>
    <row r="13" spans="1:5" ht="14.25">
      <c r="A13" t="s">
        <v>35</v>
      </c>
      <c r="B13" s="73" t="s">
        <v>169</v>
      </c>
      <c r="C13">
        <f>gearcalc!D48</f>
        <v>0.046125827471789414</v>
      </c>
      <c r="E13">
        <f>gearcalc!F48</f>
        <v>0.046125827471789414</v>
      </c>
    </row>
    <row r="14" spans="1:4" ht="12">
      <c r="A14" t="s">
        <v>38</v>
      </c>
      <c r="B14" s="74" t="s">
        <v>165</v>
      </c>
      <c r="D14">
        <f>gearcalc!E37</f>
        <v>0.014904383867336446</v>
      </c>
    </row>
    <row r="15" spans="1:4" ht="24.75">
      <c r="A15" s="7" t="s">
        <v>73</v>
      </c>
      <c r="B15" s="75" t="s">
        <v>167</v>
      </c>
      <c r="D15">
        <f>gearcalc!E42</f>
        <v>0.000433231420348245</v>
      </c>
    </row>
    <row r="16" spans="1:4" ht="14.25">
      <c r="A16" t="s">
        <v>76</v>
      </c>
      <c r="B16" s="73" t="s">
        <v>178</v>
      </c>
      <c r="D16">
        <f>(C11*(C13+E13+gearcalc!E42/COS(D4*PI()/180))-PI()*C12)/C12/(C11+E11)+D14</f>
        <v>0.019990911516474683</v>
      </c>
    </row>
    <row r="17" spans="1:4" ht="15">
      <c r="A17" t="s">
        <v>39</v>
      </c>
      <c r="B17" s="5" t="s">
        <v>77</v>
      </c>
      <c r="D17" s="62">
        <v>20</v>
      </c>
    </row>
    <row r="18" spans="1:4" ht="12">
      <c r="A18" t="s">
        <v>78</v>
      </c>
      <c r="B18" t="s">
        <v>79</v>
      </c>
      <c r="D18">
        <f>(C12+E12)/2</f>
        <v>0.986842105263158</v>
      </c>
    </row>
    <row r="19" spans="1:4" ht="13.5">
      <c r="A19" t="s">
        <v>71</v>
      </c>
      <c r="B19" s="73" t="s">
        <v>179</v>
      </c>
      <c r="D19" s="67">
        <f>D18*COS(D4*PI()/180)/COS(D17*PI()/180)</f>
        <v>0.986842105263158</v>
      </c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Header>&amp;LRicardo Inc confidential ©aegw&amp;R&amp;D</oddHeader>
    <oddFooter>&amp;L&amp;F&amp;C&amp;N&amp;R&amp;A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1.28125" style="0" customWidth="1"/>
    <col min="2" max="2" width="24.57421875" style="0" customWidth="1"/>
    <col min="3" max="3" width="5.00390625" style="0" customWidth="1"/>
    <col min="6" max="6" width="9.8515625" style="0" customWidth="1"/>
  </cols>
  <sheetData>
    <row r="1" ht="12.75">
      <c r="A1" s="1" t="s">
        <v>107</v>
      </c>
    </row>
    <row r="4" ht="12">
      <c r="A4" t="s">
        <v>101</v>
      </c>
    </row>
    <row r="6" spans="2:6" ht="12.75">
      <c r="B6" s="4" t="s">
        <v>28</v>
      </c>
      <c r="C6" s="4" t="s">
        <v>83</v>
      </c>
      <c r="D6" s="4" t="s">
        <v>16</v>
      </c>
      <c r="E6" s="4" t="s">
        <v>25</v>
      </c>
      <c r="F6" s="4" t="s">
        <v>17</v>
      </c>
    </row>
    <row r="7" spans="1:6" ht="12.75">
      <c r="A7" s="1" t="s">
        <v>4</v>
      </c>
      <c r="C7" s="18"/>
      <c r="D7" s="51" t="str">
        <f>gearcalc!D17</f>
        <v>Pinion</v>
      </c>
      <c r="E7" s="3"/>
      <c r="F7" s="51" t="str">
        <f>gearcalc!F17</f>
        <v>Wheel</v>
      </c>
    </row>
    <row r="8" spans="1:6" ht="14.25">
      <c r="A8" t="s">
        <v>102</v>
      </c>
      <c r="B8" s="83" t="s">
        <v>180</v>
      </c>
      <c r="C8" s="48" t="s">
        <v>104</v>
      </c>
      <c r="D8" s="49">
        <f>ACOS(gearcalc!D24/gearcalc!D31)*180/PI()</f>
        <v>31.32125792965131</v>
      </c>
      <c r="F8" s="49">
        <f>ACOS(gearcalc!F24/gearcalc!F31)*180/PI()</f>
        <v>26.49858855496128</v>
      </c>
    </row>
    <row r="9" spans="1:6" ht="13.5">
      <c r="A9" s="1" t="s">
        <v>105</v>
      </c>
      <c r="B9" s="73" t="s">
        <v>181</v>
      </c>
      <c r="C9" s="48" t="s">
        <v>103</v>
      </c>
      <c r="D9" s="63">
        <f>gearcalc!D31*(gearcalc!D60/gearcalc!D19+TAN(gearcalc!E10*PI()/180)-gearcalc!E10*PI()/180-(TAN(D8*PI()/180)-D8*PI()/180))</f>
        <v>0.011496556746766999</v>
      </c>
      <c r="F9" s="63">
        <f>gearcalc!F31*(gearcalc!F60/gearcalc!F19+TAN(gearcalc!E10*PI()/180)-gearcalc!E10*PI()/180-(TAN(F8*PI()/180)-F8*PI()/180))</f>
        <v>0.014176944893018698</v>
      </c>
    </row>
    <row r="10" spans="1:6" ht="13.5">
      <c r="A10" s="1" t="s">
        <v>106</v>
      </c>
      <c r="B10" s="73" t="s">
        <v>182</v>
      </c>
      <c r="D10" s="63">
        <f>gearcalc!D31*(gearcalc!D68/gearcalc!D19+TAN(gearcalc!E10*PI()/180)-gearcalc!E10*PI()/180-(TAN(D8*PI()/180)-D8*PI()/180))</f>
        <v>0.009296556746767009</v>
      </c>
      <c r="F10" s="63">
        <f>gearcalc!F31*(gearcalc!F68/gearcalc!F19+TAN(gearcalc!E10*PI()/180)-gearcalc!E10*PI()/180-(TAN(F8*PI()/180)-F8*PI()/180))</f>
        <v>0.012076944893018667</v>
      </c>
    </row>
    <row r="13" ht="15">
      <c r="A13" t="s">
        <v>118</v>
      </c>
    </row>
    <row r="16" ht="12.75">
      <c r="A16" s="1" t="s">
        <v>117</v>
      </c>
    </row>
    <row r="17" ht="12.75">
      <c r="A17" s="1" t="s">
        <v>116</v>
      </c>
    </row>
    <row r="18" spans="1:6" ht="13.5">
      <c r="A18" t="s">
        <v>108</v>
      </c>
      <c r="B18" s="83" t="s">
        <v>183</v>
      </c>
      <c r="C18" s="48" t="s">
        <v>109</v>
      </c>
      <c r="D18">
        <f>(TAN(D8*PI()/180)-(gearcalc!D68/gearcalc!D19-(TAN(gearcalc!E10*PI()/180)-gearcalc!E10*PI()/180)))*180/PI()</f>
        <v>32.29314426996808</v>
      </c>
      <c r="F18">
        <f>(TAN(F8*PI()/180)-(gearcalc!F68/gearcalc!F19-(TAN(gearcalc!E10*PI()/180)-gearcalc!E10*PI()/180)))*180/PI()</f>
        <v>27.705659368592016</v>
      </c>
    </row>
    <row r="19" spans="1:6" ht="13.5">
      <c r="A19" t="s">
        <v>112</v>
      </c>
      <c r="B19" s="83" t="s">
        <v>184</v>
      </c>
      <c r="C19" s="48"/>
      <c r="D19" s="65">
        <v>0.1</v>
      </c>
      <c r="F19" s="65">
        <v>0.1</v>
      </c>
    </row>
    <row r="20" spans="1:6" ht="13.5">
      <c r="A20" s="1" t="s">
        <v>110</v>
      </c>
      <c r="B20" s="83" t="s">
        <v>185</v>
      </c>
      <c r="C20" s="48" t="s">
        <v>111</v>
      </c>
      <c r="D20" s="63">
        <f>2*D19*TAN(D18*PI()/180)</f>
        <v>0.1264012591934381</v>
      </c>
      <c r="F20" s="66">
        <f>2*F19*TAN(F18*PI()/180)</f>
        <v>0.10502754890070176</v>
      </c>
    </row>
    <row r="21" spans="2:3" ht="12">
      <c r="B21" s="5"/>
      <c r="C21" s="48"/>
    </row>
    <row r="23" ht="12.75">
      <c r="A23" s="1" t="s">
        <v>113</v>
      </c>
    </row>
    <row r="24" spans="1:8" ht="15">
      <c r="A24" t="s">
        <v>119</v>
      </c>
      <c r="B24" t="s">
        <v>120</v>
      </c>
      <c r="C24" s="48" t="s">
        <v>115</v>
      </c>
      <c r="D24">
        <f>0.5/gearcalc!E11</f>
        <v>0.013157894736842105</v>
      </c>
      <c r="F24">
        <f>0.5/gearcalc!E11</f>
        <v>0.013157894736842105</v>
      </c>
      <c r="G24" s="141" t="s">
        <v>124</v>
      </c>
      <c r="H24" s="142"/>
    </row>
    <row r="25" spans="1:8" ht="15.75" customHeight="1">
      <c r="A25" t="s">
        <v>114</v>
      </c>
      <c r="B25" s="83" t="s">
        <v>186</v>
      </c>
      <c r="C25" s="48" t="s">
        <v>115</v>
      </c>
      <c r="D25">
        <f>IF(F24&gt;D10,(D24-crestwidth!D10)/2/TAN(crestwidth!D18*PI()/180),"n/c")</f>
        <v>0.003054825572715142</v>
      </c>
      <c r="F25" s="6">
        <f>IF(F24&gt;F10,(F24-crestwidth!F10)/2/TAN(crestwidth!F8*PI()/180),"No change")</f>
        <v>0.001084091866480215</v>
      </c>
      <c r="G25" s="143"/>
      <c r="H25" s="144"/>
    </row>
    <row r="26" spans="1:8" ht="13.5">
      <c r="A26" s="1" t="s">
        <v>121</v>
      </c>
      <c r="B26" s="73" t="s">
        <v>187</v>
      </c>
      <c r="C26" s="48" t="s">
        <v>123</v>
      </c>
      <c r="D26" s="52">
        <f>IF(D24&gt;D10,gearcalc!D31-2*D25,"No change")</f>
        <v>0.7175745593808855</v>
      </c>
      <c r="F26" s="52">
        <f>IF(F24&gt;F10,gearcalc!F31-2*F25,"No change")</f>
        <v>1.379410763635461</v>
      </c>
      <c r="G26" s="145"/>
      <c r="H26" s="144"/>
    </row>
    <row r="27" spans="7:8" ht="12">
      <c r="G27" s="146"/>
      <c r="H27" s="147"/>
    </row>
  </sheetData>
  <sheetProtection/>
  <mergeCells count="1">
    <mergeCell ref="G24:H27"/>
  </mergeCells>
  <printOptions/>
  <pageMargins left="0.75" right="0.75" top="1" bottom="1" header="0.5" footer="0.5"/>
  <pageSetup horizontalDpi="600" verticalDpi="600" orientation="landscape" r:id="rId2"/>
  <headerFooter alignWithMargins="0">
    <oddHeader>&amp;LRicardo Inc confidential ©aegw&amp;R&amp;D</oddHeader>
    <oddFooter>&amp;L&amp;F&amp;C&amp;N&amp;R&amp;A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6.57421875" style="0" customWidth="1"/>
    <col min="2" max="2" width="29.7109375" style="0" customWidth="1"/>
    <col min="3" max="3" width="5.28125" style="0" customWidth="1"/>
  </cols>
  <sheetData>
    <row r="1" ht="12.75">
      <c r="A1" s="1" t="s">
        <v>143</v>
      </c>
    </row>
    <row r="3" ht="12">
      <c r="A3" t="s">
        <v>125</v>
      </c>
    </row>
    <row r="5" spans="2:6" ht="12.75">
      <c r="B5" s="4" t="s">
        <v>28</v>
      </c>
      <c r="C5" s="4" t="s">
        <v>83</v>
      </c>
      <c r="D5" s="4" t="s">
        <v>16</v>
      </c>
      <c r="E5" s="4" t="s">
        <v>25</v>
      </c>
      <c r="F5" s="4" t="s">
        <v>17</v>
      </c>
    </row>
    <row r="6" spans="1:6" ht="12.75">
      <c r="A6" s="1" t="s">
        <v>4</v>
      </c>
      <c r="C6" s="18"/>
      <c r="D6" s="51" t="str">
        <f>gearcalc!D17</f>
        <v>Pinion</v>
      </c>
      <c r="E6" s="3"/>
      <c r="F6" s="51" t="str">
        <f>gearcalc!F17</f>
        <v>Wheel</v>
      </c>
    </row>
    <row r="7" spans="1:5" ht="13.5">
      <c r="A7" t="s">
        <v>126</v>
      </c>
      <c r="B7" s="73" t="s">
        <v>188</v>
      </c>
      <c r="C7" s="48" t="s">
        <v>127</v>
      </c>
      <c r="E7">
        <f>PI()*COS(gearcalc!E10*PI()/180)/gearcalc!E11</f>
        <v>0.07768766931825129</v>
      </c>
    </row>
    <row r="8" spans="1:6" ht="15.75">
      <c r="A8" t="s">
        <v>130</v>
      </c>
      <c r="B8" t="s">
        <v>129</v>
      </c>
      <c r="C8" s="48" t="s">
        <v>128</v>
      </c>
      <c r="D8">
        <f>(gearcalc!D31^2-gearcalc!D24^2)^0.5/2</f>
        <v>0.18809858815309283</v>
      </c>
      <c r="F8">
        <f>(gearcalc!F31^2-gearcalc!F24^2)^0.5/2</f>
        <v>0.30821352314354905</v>
      </c>
    </row>
    <row r="9" spans="1:5" ht="15.75">
      <c r="A9" t="s">
        <v>131</v>
      </c>
      <c r="B9" t="s">
        <v>135</v>
      </c>
      <c r="C9" s="48" t="s">
        <v>132</v>
      </c>
      <c r="E9">
        <f>(gearcalc!E21^2-(gearcalc!D24+gearcalc!F24)^2/4)^0.5</f>
        <v>0.374249018055109</v>
      </c>
    </row>
    <row r="10" spans="1:5" ht="15">
      <c r="A10" t="s">
        <v>133</v>
      </c>
      <c r="B10" t="s">
        <v>134</v>
      </c>
      <c r="C10" s="48" t="s">
        <v>136</v>
      </c>
      <c r="E10">
        <f>D8+F8-E9</f>
        <v>0.12206309324153286</v>
      </c>
    </row>
    <row r="11" spans="1:5" ht="15">
      <c r="A11" s="1" t="s">
        <v>137</v>
      </c>
      <c r="B11" t="s">
        <v>138</v>
      </c>
      <c r="C11" s="48" t="s">
        <v>139</v>
      </c>
      <c r="E11" s="63">
        <f>E10/E7</f>
        <v>1.5712029246429766</v>
      </c>
    </row>
    <row r="13" ht="12.75">
      <c r="A13" s="1" t="s">
        <v>140</v>
      </c>
    </row>
    <row r="14" ht="12.75">
      <c r="A14" s="1" t="s">
        <v>142</v>
      </c>
    </row>
    <row r="15" ht="12.75">
      <c r="A15" s="1" t="s">
        <v>141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&amp;LRicardo Inc confidential ©aegw&amp;R&amp;D</oddHeader>
    <oddFooter>&amp;L&amp;F&amp;C&amp;N&amp;R&amp;A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A1">
      <selection activeCell="B6" sqref="B6:E33"/>
    </sheetView>
  </sheetViews>
  <sheetFormatPr defaultColWidth="9.140625" defaultRowHeight="12.75"/>
  <cols>
    <col min="2" max="2" width="31.7109375" style="0" customWidth="1"/>
    <col min="3" max="3" width="11.8515625" style="0" customWidth="1"/>
    <col min="4" max="4" width="8.28125" style="0" customWidth="1"/>
    <col min="5" max="5" width="11.140625" style="0" customWidth="1"/>
  </cols>
  <sheetData>
    <row r="1" ht="12.75">
      <c r="B1" s="1" t="s">
        <v>145</v>
      </c>
    </row>
    <row r="3" spans="2:5" ht="12.75">
      <c r="B3" s="53" t="s">
        <v>146</v>
      </c>
      <c r="C3" s="54" t="str">
        <f>gearcalc!D17</f>
        <v>Pinion</v>
      </c>
      <c r="D3" s="54"/>
      <c r="E3" s="54" t="str">
        <f>gearcalc!F17</f>
        <v>Wheel</v>
      </c>
    </row>
    <row r="5" ht="12.75">
      <c r="D5" s="54"/>
    </row>
    <row r="6" spans="2:5" ht="22.5" customHeight="1">
      <c r="B6" s="158" t="s">
        <v>248</v>
      </c>
      <c r="C6" s="159"/>
      <c r="D6" s="159"/>
      <c r="E6" s="160"/>
    </row>
    <row r="7" spans="2:5" ht="15" customHeight="1">
      <c r="B7" s="119" t="s">
        <v>147</v>
      </c>
      <c r="C7" s="120">
        <f>gearcalc!D18</f>
        <v>25</v>
      </c>
      <c r="D7" s="121"/>
      <c r="E7" s="120">
        <f>gearcalc!F18</f>
        <v>50</v>
      </c>
    </row>
    <row r="8" spans="2:5" ht="15" customHeight="1">
      <c r="B8" s="119" t="s">
        <v>148</v>
      </c>
      <c r="C8" s="120"/>
      <c r="D8" s="121">
        <f>gearcalc!E11</f>
        <v>38</v>
      </c>
      <c r="E8" s="120"/>
    </row>
    <row r="9" spans="2:5" ht="15" customHeight="1">
      <c r="B9" s="119" t="s">
        <v>149</v>
      </c>
      <c r="C9" s="122"/>
      <c r="D9" s="123">
        <f>25.4/D8</f>
        <v>0.6684210526315789</v>
      </c>
      <c r="E9" s="122"/>
    </row>
    <row r="10" spans="2:5" ht="15" customHeight="1">
      <c r="B10" s="119" t="s">
        <v>150</v>
      </c>
      <c r="C10" s="124"/>
      <c r="D10" s="121">
        <f>gearcalc!E10</f>
        <v>20</v>
      </c>
      <c r="E10" s="120"/>
    </row>
    <row r="11" spans="2:5" ht="15" customHeight="1">
      <c r="B11" s="119" t="s">
        <v>151</v>
      </c>
      <c r="C11" s="122">
        <f>gearcalc!D19</f>
        <v>0.6578947368421053</v>
      </c>
      <c r="D11" s="123"/>
      <c r="E11" s="122">
        <f>gearcalc!F19</f>
        <v>1.3157894736842106</v>
      </c>
    </row>
    <row r="12" spans="2:5" ht="15" customHeight="1">
      <c r="B12" s="119" t="s">
        <v>238</v>
      </c>
      <c r="C12" s="122">
        <f>gearcalc!D24</f>
        <v>0.6182188294644135</v>
      </c>
      <c r="D12" s="123"/>
      <c r="E12" s="122">
        <f>gearcalc!F24</f>
        <v>1.236437658928827</v>
      </c>
    </row>
    <row r="13" spans="2:5" ht="15" customHeight="1">
      <c r="B13" s="119" t="s">
        <v>247</v>
      </c>
      <c r="C13" s="122">
        <f>gearcalc!D31</f>
        <v>0.7236842105263158</v>
      </c>
      <c r="D13" s="123"/>
      <c r="E13" s="122">
        <f>gearcalc!F31</f>
        <v>1.3815789473684212</v>
      </c>
    </row>
    <row r="14" spans="2:5" ht="15" customHeight="1">
      <c r="B14" s="119" t="s">
        <v>152</v>
      </c>
      <c r="C14" s="122">
        <f>gearcalc!D32</f>
        <v>0.5973684210526317</v>
      </c>
      <c r="D14" s="123"/>
      <c r="E14" s="122">
        <f>gearcalc!F32</f>
        <v>1.2552631578947369</v>
      </c>
    </row>
    <row r="15" spans="2:5" ht="15" customHeight="1">
      <c r="B15" s="164" t="s">
        <v>153</v>
      </c>
      <c r="C15" s="122">
        <f>gearcalc!D60</f>
        <v>0.041342443181963534</v>
      </c>
      <c r="D15" s="123"/>
      <c r="E15" s="122">
        <f>gearcalc!F60</f>
        <v>0.041342443181963534</v>
      </c>
    </row>
    <row r="16" spans="2:5" ht="15" customHeight="1">
      <c r="B16" s="165"/>
      <c r="C16" s="122">
        <f>gearcalc!D68</f>
        <v>0.03934244318196353</v>
      </c>
      <c r="D16" s="123"/>
      <c r="E16" s="122">
        <f>gearcalc!F68</f>
        <v>0.03934244318196353</v>
      </c>
    </row>
    <row r="17" spans="2:5" ht="15" customHeight="1">
      <c r="B17" s="119" t="s">
        <v>154</v>
      </c>
      <c r="C17" s="122">
        <f>gearcalc!D46</f>
        <v>0.1728</v>
      </c>
      <c r="D17" s="123"/>
      <c r="E17" s="122">
        <f>gearcalc!F46</f>
        <v>0.1728</v>
      </c>
    </row>
    <row r="18" spans="2:5" ht="15" customHeight="1">
      <c r="B18" s="164" t="s">
        <v>155</v>
      </c>
      <c r="C18" s="125">
        <f>gearcalc!D64</f>
        <v>0.8479402525093105</v>
      </c>
      <c r="D18" s="126"/>
      <c r="E18" s="125">
        <f>gearcalc!F64</f>
        <v>1.5093318800633149</v>
      </c>
    </row>
    <row r="19" spans="2:5" ht="15" customHeight="1">
      <c r="B19" s="165"/>
      <c r="C19" s="127">
        <f>gearcalc!D72</f>
        <v>0.8470936436101193</v>
      </c>
      <c r="D19" s="128"/>
      <c r="E19" s="127">
        <f>gearcalc!F72</f>
        <v>1.5083562723291633</v>
      </c>
    </row>
    <row r="20" spans="2:5" ht="15" customHeight="1">
      <c r="B20" s="119" t="s">
        <v>157</v>
      </c>
      <c r="C20" s="122" t="str">
        <f>gearcalc!F17</f>
        <v>Wheel</v>
      </c>
      <c r="D20" s="123"/>
      <c r="E20" s="122" t="str">
        <f>gearcalc!D17</f>
        <v>Pinion</v>
      </c>
    </row>
    <row r="21" spans="2:5" ht="15" customHeight="1">
      <c r="B21" s="119" t="s">
        <v>156</v>
      </c>
      <c r="C21" s="161" t="s">
        <v>245</v>
      </c>
      <c r="D21" s="162"/>
      <c r="E21" s="163"/>
    </row>
    <row r="22" spans="2:5" ht="15" customHeight="1">
      <c r="B22" s="119" t="s">
        <v>239</v>
      </c>
      <c r="C22" s="120">
        <v>0.0006</v>
      </c>
      <c r="D22" s="121"/>
      <c r="E22" s="120">
        <v>0.0006</v>
      </c>
    </row>
    <row r="23" spans="2:5" ht="15" customHeight="1">
      <c r="B23" s="119" t="s">
        <v>240</v>
      </c>
      <c r="C23" s="120">
        <v>0.0034</v>
      </c>
      <c r="D23" s="121"/>
      <c r="E23" s="120">
        <v>0.0042</v>
      </c>
    </row>
    <row r="24" spans="2:5" ht="15" customHeight="1">
      <c r="B24" s="119" t="s">
        <v>241</v>
      </c>
      <c r="C24" s="120">
        <v>0.0018</v>
      </c>
      <c r="D24" s="121"/>
      <c r="E24" s="120">
        <v>0.0018</v>
      </c>
    </row>
    <row r="25" spans="2:5" ht="15" customHeight="1">
      <c r="B25" s="119" t="s">
        <v>242</v>
      </c>
      <c r="C25" s="120" t="s">
        <v>246</v>
      </c>
      <c r="D25" s="121"/>
      <c r="E25" s="120" t="s">
        <v>246</v>
      </c>
    </row>
    <row r="26" spans="2:5" ht="15" customHeight="1">
      <c r="B26" s="119" t="s">
        <v>243</v>
      </c>
      <c r="C26" s="120">
        <v>0.005</v>
      </c>
      <c r="D26" s="121"/>
      <c r="E26" s="120">
        <v>0.005</v>
      </c>
    </row>
    <row r="27" spans="2:5" ht="15" customHeight="1">
      <c r="B27" s="119" t="s">
        <v>244</v>
      </c>
      <c r="C27" s="120"/>
      <c r="D27" s="129">
        <v>5.2</v>
      </c>
      <c r="E27" s="120"/>
    </row>
    <row r="28" spans="3:5" ht="12.75">
      <c r="C28" s="4"/>
      <c r="D28" s="4"/>
      <c r="E28" s="4"/>
    </row>
    <row r="29" spans="3:5" ht="12.75">
      <c r="C29" s="4"/>
      <c r="D29" s="4"/>
      <c r="E29" s="4"/>
    </row>
    <row r="30" spans="2:5" ht="12.75">
      <c r="B30" s="1" t="s">
        <v>158</v>
      </c>
      <c r="C30" s="4"/>
      <c r="D30" s="4"/>
      <c r="E30" s="4"/>
    </row>
    <row r="31" spans="3:5" ht="12.75">
      <c r="C31" s="4"/>
      <c r="D31" s="4"/>
      <c r="E31" s="4"/>
    </row>
    <row r="32" spans="2:5" ht="12.75">
      <c r="B32" s="148" t="s">
        <v>159</v>
      </c>
      <c r="C32" s="64">
        <f>gearcalc!D31</f>
        <v>0.7236842105263158</v>
      </c>
      <c r="D32" s="55"/>
      <c r="E32" s="64">
        <f>gearcalc!F31</f>
        <v>1.3815789473684212</v>
      </c>
    </row>
    <row r="33" spans="2:5" ht="12.75">
      <c r="B33" s="149"/>
      <c r="C33" s="64">
        <f>C32-0.005</f>
        <v>0.7186842105263158</v>
      </c>
      <c r="D33" s="55"/>
      <c r="E33" s="64">
        <f>E32-0.005</f>
        <v>1.3765789473684213</v>
      </c>
    </row>
    <row r="34" spans="3:5" ht="12.75">
      <c r="C34" s="4"/>
      <c r="D34" s="4"/>
      <c r="E34" s="4"/>
    </row>
    <row r="35" spans="2:5" ht="12">
      <c r="B35" s="150" t="s">
        <v>160</v>
      </c>
      <c r="C35" s="151"/>
      <c r="D35" s="151"/>
      <c r="E35" s="152"/>
    </row>
    <row r="36" spans="2:5" ht="12">
      <c r="B36" s="153"/>
      <c r="C36" s="131"/>
      <c r="D36" s="131"/>
      <c r="E36" s="154"/>
    </row>
    <row r="37" spans="2:5" ht="12">
      <c r="B37" s="153"/>
      <c r="C37" s="131"/>
      <c r="D37" s="131"/>
      <c r="E37" s="154"/>
    </row>
    <row r="38" spans="2:5" ht="12">
      <c r="B38" s="155"/>
      <c r="C38" s="156"/>
      <c r="D38" s="156"/>
      <c r="E38" s="157"/>
    </row>
  </sheetData>
  <sheetProtection/>
  <mergeCells count="6">
    <mergeCell ref="B32:B33"/>
    <mergeCell ref="B35:E38"/>
    <mergeCell ref="B6:E6"/>
    <mergeCell ref="C21:E21"/>
    <mergeCell ref="B15:B16"/>
    <mergeCell ref="B18:B19"/>
  </mergeCells>
  <printOptions/>
  <pageMargins left="0.75" right="0.75" top="1" bottom="1" header="0.5" footer="0.5"/>
  <pageSetup horizontalDpi="600" verticalDpi="600" orientation="portrait" r:id="rId1"/>
  <headerFooter alignWithMargins="0">
    <oddHeader>&amp;LRicardo Inc confidential ©aegw&amp;R&amp;D</oddHeader>
    <oddFooter>&amp;L&amp;F&amp;C&amp;N&amp;R&amp;A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O46" sqref="O46"/>
    </sheetView>
  </sheetViews>
  <sheetFormatPr defaultColWidth="9.140625" defaultRowHeight="12.75"/>
  <cols>
    <col min="1" max="1" width="4.57421875" style="0" customWidth="1"/>
    <col min="2" max="2" width="7.7109375" style="3" customWidth="1"/>
    <col min="3" max="3" width="6.28125" style="3" customWidth="1"/>
  </cols>
  <sheetData>
    <row r="1" ht="12.75">
      <c r="A1" s="53" t="s">
        <v>193</v>
      </c>
    </row>
    <row r="3" ht="12">
      <c r="A3" t="s">
        <v>191</v>
      </c>
    </row>
    <row r="5" spans="2:3" ht="12">
      <c r="B5" s="166" t="s">
        <v>194</v>
      </c>
      <c r="C5" s="166" t="s">
        <v>192</v>
      </c>
    </row>
    <row r="6" spans="2:3" ht="12">
      <c r="B6" s="167"/>
      <c r="C6" s="167"/>
    </row>
    <row r="7" spans="2:3" ht="12">
      <c r="B7" s="167"/>
      <c r="C7" s="167"/>
    </row>
    <row r="8" spans="2:3" ht="12">
      <c r="B8" s="3">
        <v>12</v>
      </c>
      <c r="C8" s="87">
        <v>0.377</v>
      </c>
    </row>
    <row r="9" spans="2:3" ht="12">
      <c r="B9" s="3">
        <v>13</v>
      </c>
      <c r="C9" s="87">
        <v>0.401</v>
      </c>
    </row>
    <row r="10" spans="2:3" ht="12">
      <c r="B10" s="3">
        <v>14</v>
      </c>
      <c r="C10" s="87">
        <v>0.425</v>
      </c>
    </row>
    <row r="11" spans="2:3" ht="12">
      <c r="B11" s="3">
        <v>15</v>
      </c>
      <c r="C11" s="87">
        <v>0.445</v>
      </c>
    </row>
    <row r="12" spans="2:3" ht="12">
      <c r="B12" s="3">
        <v>16</v>
      </c>
      <c r="C12" s="87">
        <v>0.454</v>
      </c>
    </row>
    <row r="13" spans="2:3" ht="12">
      <c r="B13" s="3">
        <v>17</v>
      </c>
      <c r="C13" s="87">
        <v>0.464</v>
      </c>
    </row>
    <row r="14" spans="2:3" ht="12">
      <c r="B14" s="3">
        <v>18</v>
      </c>
      <c r="C14" s="87">
        <v>0.474</v>
      </c>
    </row>
    <row r="15" spans="2:3" ht="12">
      <c r="B15" s="3">
        <v>19</v>
      </c>
      <c r="C15" s="87">
        <v>0.483</v>
      </c>
    </row>
    <row r="16" spans="2:3" ht="12">
      <c r="B16" s="3">
        <v>20</v>
      </c>
      <c r="C16" s="87">
        <v>0.493</v>
      </c>
    </row>
    <row r="17" spans="2:3" ht="12">
      <c r="B17" s="3">
        <v>21</v>
      </c>
      <c r="C17" s="87">
        <v>0.503</v>
      </c>
    </row>
    <row r="18" spans="2:3" ht="12">
      <c r="B18" s="3">
        <v>22</v>
      </c>
      <c r="C18" s="87">
        <v>0.507</v>
      </c>
    </row>
    <row r="19" spans="2:3" ht="12">
      <c r="B19" s="3">
        <v>23</v>
      </c>
      <c r="C19" s="87">
        <v>0.512</v>
      </c>
    </row>
    <row r="20" spans="2:3" ht="12">
      <c r="B20" s="3">
        <v>24</v>
      </c>
      <c r="C20" s="87">
        <v>0.517</v>
      </c>
    </row>
    <row r="21" spans="2:3" ht="12">
      <c r="B21" s="3">
        <v>25</v>
      </c>
      <c r="C21" s="87">
        <v>0.524</v>
      </c>
    </row>
    <row r="22" spans="2:3" ht="12">
      <c r="B22" s="3">
        <v>26</v>
      </c>
      <c r="C22" s="87">
        <v>0.532</v>
      </c>
    </row>
    <row r="23" spans="2:3" ht="12">
      <c r="B23" s="3">
        <v>27</v>
      </c>
      <c r="C23" s="87">
        <v>0.536</v>
      </c>
    </row>
    <row r="24" spans="2:3" ht="12">
      <c r="B24" s="3">
        <v>28</v>
      </c>
      <c r="C24" s="87">
        <v>0.541</v>
      </c>
    </row>
    <row r="25" spans="2:3" ht="12">
      <c r="B25" s="3">
        <v>29</v>
      </c>
      <c r="C25" s="87">
        <v>0.546</v>
      </c>
    </row>
    <row r="26" spans="2:3" ht="12">
      <c r="B26" s="3">
        <v>30</v>
      </c>
      <c r="C26" s="87">
        <v>0.551</v>
      </c>
    </row>
    <row r="27" spans="2:3" ht="12">
      <c r="B27" s="3">
        <v>32</v>
      </c>
      <c r="C27" s="87">
        <v>0.561</v>
      </c>
    </row>
    <row r="28" spans="2:3" ht="12">
      <c r="B28" s="3">
        <v>34</v>
      </c>
      <c r="C28" s="87">
        <v>0.57</v>
      </c>
    </row>
    <row r="29" spans="2:3" ht="12">
      <c r="B29" s="3">
        <v>36</v>
      </c>
      <c r="C29" s="87">
        <v>0.58</v>
      </c>
    </row>
    <row r="30" spans="2:3" ht="12">
      <c r="B30" s="3">
        <v>38</v>
      </c>
      <c r="C30" s="87">
        <v>0.59</v>
      </c>
    </row>
    <row r="31" spans="2:3" ht="12">
      <c r="B31" s="3">
        <v>43</v>
      </c>
      <c r="C31" s="87">
        <v>0.609</v>
      </c>
    </row>
    <row r="32" spans="2:3" ht="12">
      <c r="B32" s="3">
        <v>50</v>
      </c>
      <c r="C32" s="87">
        <v>0.628</v>
      </c>
    </row>
    <row r="33" spans="2:3" ht="12">
      <c r="B33" s="3">
        <v>60</v>
      </c>
      <c r="C33" s="87">
        <v>0.648</v>
      </c>
    </row>
    <row r="34" spans="2:3" ht="12">
      <c r="B34" s="3">
        <v>75</v>
      </c>
      <c r="C34" s="87">
        <v>0.667</v>
      </c>
    </row>
    <row r="35" spans="2:3" ht="12">
      <c r="B35" s="3">
        <v>100</v>
      </c>
      <c r="C35" s="87">
        <v>0.686</v>
      </c>
    </row>
    <row r="36" spans="2:3" ht="12">
      <c r="B36" s="3">
        <v>150</v>
      </c>
      <c r="C36" s="87">
        <v>0.706</v>
      </c>
    </row>
    <row r="37" spans="2:3" ht="12">
      <c r="B37" s="3">
        <v>300</v>
      </c>
      <c r="C37" s="87">
        <v>0.725</v>
      </c>
    </row>
  </sheetData>
  <sheetProtection/>
  <mergeCells count="2">
    <mergeCell ref="C5:C7"/>
    <mergeCell ref="B5:B7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26.00390625" style="0" customWidth="1"/>
    <col min="2" max="2" width="42.57421875" style="0" customWidth="1"/>
    <col min="3" max="3" width="10.7109375" style="89" customWidth="1"/>
    <col min="4" max="4" width="11.00390625" style="0" customWidth="1"/>
    <col min="5" max="5" width="10.8515625" style="89" customWidth="1"/>
    <col min="6" max="6" width="2.00390625" style="89" customWidth="1"/>
    <col min="7" max="7" width="7.8515625" style="89" customWidth="1"/>
    <col min="8" max="9" width="7.7109375" style="0" customWidth="1"/>
  </cols>
  <sheetData>
    <row r="1" ht="12.75">
      <c r="A1" s="53" t="s">
        <v>193</v>
      </c>
    </row>
    <row r="3" ht="12.75">
      <c r="A3" s="1" t="s">
        <v>205</v>
      </c>
    </row>
    <row r="4" ht="12.75" thickBot="1"/>
    <row r="5" spans="1:9" ht="13.5" thickTop="1">
      <c r="A5" s="53" t="s">
        <v>196</v>
      </c>
      <c r="B5" s="54" t="s">
        <v>28</v>
      </c>
      <c r="C5" s="88" t="s">
        <v>16</v>
      </c>
      <c r="D5" s="54" t="s">
        <v>25</v>
      </c>
      <c r="E5" s="88" t="s">
        <v>100</v>
      </c>
      <c r="F5" s="88"/>
      <c r="G5" s="168" t="s">
        <v>235</v>
      </c>
      <c r="H5" s="169"/>
      <c r="I5" s="170"/>
    </row>
    <row r="6" spans="1:9" ht="12">
      <c r="A6" t="s">
        <v>207</v>
      </c>
      <c r="B6" t="s">
        <v>195</v>
      </c>
      <c r="D6" s="130">
        <v>0.04</v>
      </c>
      <c r="G6" s="105"/>
      <c r="H6" s="27">
        <f>D6*0.7457</f>
        <v>0.029828</v>
      </c>
      <c r="I6" s="106" t="s">
        <v>231</v>
      </c>
    </row>
    <row r="7" spans="1:9" ht="12">
      <c r="A7" t="s">
        <v>197</v>
      </c>
      <c r="B7" t="s">
        <v>199</v>
      </c>
      <c r="C7" s="89">
        <v>200</v>
      </c>
      <c r="E7" s="89">
        <f>C7*gearcalc!D18/gearcalc!F18</f>
        <v>100</v>
      </c>
      <c r="G7" s="105"/>
      <c r="H7" s="27"/>
      <c r="I7" s="106"/>
    </row>
    <row r="8" spans="1:9" ht="15">
      <c r="A8" t="s">
        <v>214</v>
      </c>
      <c r="B8" t="s">
        <v>215</v>
      </c>
      <c r="C8" s="89">
        <f>5252*D6/C7</f>
        <v>1.0504</v>
      </c>
      <c r="D8" s="102"/>
      <c r="E8" s="103"/>
      <c r="F8" s="103"/>
      <c r="G8" s="107"/>
      <c r="H8" s="108">
        <f>C8*1.3558</f>
        <v>1.4241323199999998</v>
      </c>
      <c r="I8" s="106" t="s">
        <v>232</v>
      </c>
    </row>
    <row r="9" spans="1:9" ht="15">
      <c r="A9" t="s">
        <v>198</v>
      </c>
      <c r="B9" t="s">
        <v>216</v>
      </c>
      <c r="E9" s="89">
        <f>C8*gearcalc!F18/gearcalc!D18</f>
        <v>2.1008</v>
      </c>
      <c r="G9" s="105"/>
      <c r="H9" s="108">
        <f>E9*1.3558</f>
        <v>2.8482646399999996</v>
      </c>
      <c r="I9" s="106" t="s">
        <v>232</v>
      </c>
    </row>
    <row r="10" spans="1:9" ht="15">
      <c r="A10" t="s">
        <v>203</v>
      </c>
      <c r="B10" t="s">
        <v>212</v>
      </c>
      <c r="D10" s="89">
        <f>C8*12/toothick!D15*2</f>
        <v>37.814400000000006</v>
      </c>
      <c r="G10" s="105"/>
      <c r="H10" s="108">
        <f>D10*4.45</f>
        <v>168.27408000000003</v>
      </c>
      <c r="I10" s="106" t="s">
        <v>237</v>
      </c>
    </row>
    <row r="11" spans="1:9" ht="15">
      <c r="A11" t="s">
        <v>201</v>
      </c>
      <c r="B11" t="s">
        <v>213</v>
      </c>
      <c r="D11" s="89">
        <f>D10/COS(gearcalc!E38*PI()/180)</f>
        <v>40.77779387897331</v>
      </c>
      <c r="G11" s="105"/>
      <c r="H11" s="108">
        <f>D11*4.45</f>
        <v>181.46118276143125</v>
      </c>
      <c r="I11" s="106" t="s">
        <v>237</v>
      </c>
    </row>
    <row r="12" spans="1:9" ht="12">
      <c r="A12" t="s">
        <v>69</v>
      </c>
      <c r="B12" t="s">
        <v>61</v>
      </c>
      <c r="D12" s="89">
        <f>gearcalc!E11</f>
        <v>38</v>
      </c>
      <c r="G12" s="105"/>
      <c r="H12" s="27">
        <f>25.4/D12</f>
        <v>0.6684210526315789</v>
      </c>
      <c r="I12" s="106" t="s">
        <v>234</v>
      </c>
    </row>
    <row r="13" spans="1:9" ht="15">
      <c r="A13" t="s">
        <v>200</v>
      </c>
      <c r="B13" t="s">
        <v>202</v>
      </c>
      <c r="D13" s="87">
        <v>0.062</v>
      </c>
      <c r="G13" s="105"/>
      <c r="H13" s="27">
        <f>D13*25.4</f>
        <v>1.5748</v>
      </c>
      <c r="I13" s="106" t="s">
        <v>233</v>
      </c>
    </row>
    <row r="14" spans="1:9" ht="12">
      <c r="A14" t="s">
        <v>208</v>
      </c>
      <c r="B14" t="s">
        <v>60</v>
      </c>
      <c r="C14" s="90">
        <f>gearcalc!D18</f>
        <v>25</v>
      </c>
      <c r="D14" s="87"/>
      <c r="E14" s="90">
        <f>gearcalc!F18</f>
        <v>50</v>
      </c>
      <c r="F14" s="90"/>
      <c r="G14" s="109"/>
      <c r="H14" s="27"/>
      <c r="I14" s="106"/>
    </row>
    <row r="15" spans="1:9" ht="12">
      <c r="A15" t="s">
        <v>204</v>
      </c>
      <c r="B15" t="s">
        <v>220</v>
      </c>
      <c r="C15" s="87">
        <v>0.58</v>
      </c>
      <c r="E15" s="87">
        <v>0.657</v>
      </c>
      <c r="F15" s="87"/>
      <c r="G15" s="110"/>
      <c r="H15" s="27"/>
      <c r="I15" s="106"/>
    </row>
    <row r="16" spans="7:9" ht="12.75" thickBot="1">
      <c r="G16" s="105"/>
      <c r="H16" s="27"/>
      <c r="I16" s="106"/>
    </row>
    <row r="17" spans="1:9" ht="15.75" thickBot="1">
      <c r="A17" t="s">
        <v>205</v>
      </c>
      <c r="B17" s="8" t="s">
        <v>206</v>
      </c>
      <c r="C17" s="93">
        <f>D11*D12/D13/C15</f>
        <v>43091.10587878159</v>
      </c>
      <c r="E17" s="93">
        <f>D11*D12/D13/E15</f>
        <v>38040.85450486046</v>
      </c>
      <c r="F17" s="104"/>
      <c r="G17" s="113">
        <f>C17/145</f>
        <v>297.18004054332135</v>
      </c>
      <c r="H17" s="114">
        <f>E17/145</f>
        <v>262.3507207231756</v>
      </c>
      <c r="I17" s="115" t="s">
        <v>236</v>
      </c>
    </row>
    <row r="18" spans="7:9" ht="12">
      <c r="G18" s="105"/>
      <c r="H18" s="27"/>
      <c r="I18" s="106"/>
    </row>
    <row r="19" spans="1:9" ht="12.75">
      <c r="A19" s="1" t="s">
        <v>209</v>
      </c>
      <c r="G19" s="105"/>
      <c r="H19" s="27"/>
      <c r="I19" s="106"/>
    </row>
    <row r="20" spans="5:9" ht="12">
      <c r="E20" s="91"/>
      <c r="F20" s="91"/>
      <c r="G20" s="111"/>
      <c r="H20" s="27"/>
      <c r="I20" s="106"/>
    </row>
    <row r="21" spans="1:9" ht="15.75" thickBot="1">
      <c r="A21" s="8" t="s">
        <v>210</v>
      </c>
      <c r="B21" t="s">
        <v>211</v>
      </c>
      <c r="D21" s="89">
        <f>24*C8/toothick!D15/COS(gearcalc!E10*PI()/180)</f>
        <v>40.241243959513135</v>
      </c>
      <c r="G21" s="105"/>
      <c r="H21" s="108">
        <f>D21*4.45</f>
        <v>179.07353561983345</v>
      </c>
      <c r="I21" s="106" t="s">
        <v>237</v>
      </c>
    </row>
    <row r="22" spans="1:9" ht="16.5" thickBot="1">
      <c r="A22" s="8" t="s">
        <v>209</v>
      </c>
      <c r="B22" t="s">
        <v>217</v>
      </c>
      <c r="D22" s="92">
        <f>(10.5*10^6*D21/D13/SIN(gearcalc!E10*PI()/180)*(1/toothick!D15+1/toothick!F15))^0.5</f>
        <v>211738.54295302098</v>
      </c>
      <c r="G22" s="112"/>
      <c r="H22" s="116">
        <f>D22/145</f>
        <v>1460.2658134691103</v>
      </c>
      <c r="I22" s="117" t="s">
        <v>236</v>
      </c>
    </row>
  </sheetData>
  <sheetProtection/>
  <mergeCells count="1">
    <mergeCell ref="G5:I5"/>
  </mergeCells>
  <printOptions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 G WENBOURNE</dc:creator>
  <cp:keywords/>
  <dc:description/>
  <cp:lastModifiedBy>Alan</cp:lastModifiedBy>
  <cp:lastPrinted>2011-02-19T12:22:52Z</cp:lastPrinted>
  <dcterms:created xsi:type="dcterms:W3CDTF">2000-01-06T18:39:40Z</dcterms:created>
  <dcterms:modified xsi:type="dcterms:W3CDTF">2017-08-24T23:00:49Z</dcterms:modified>
  <cp:category/>
  <cp:version/>
  <cp:contentType/>
  <cp:contentStatus/>
</cp:coreProperties>
</file>