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0" windowWidth="14220" windowHeight="8580" activeTab="0"/>
  </bookViews>
  <sheets>
    <sheet name="gearcalc" sheetId="1" r:id="rId1"/>
    <sheet name="toothick" sheetId="2" r:id="rId2"/>
    <sheet name="crestwidth" sheetId="3" r:id="rId3"/>
    <sheet name="contact ratio" sheetId="4" r:id="rId4"/>
  </sheets>
  <definedNames>
    <definedName name="anscount" hidden="1">1</definedName>
    <definedName name="invhp1">'gearcalc'!$D$89</definedName>
    <definedName name="invhw1">'gearcalc'!$F$89</definedName>
    <definedName name="solver_adj" localSheetId="0" hidden="1">'gearcalc'!$F$66</definedName>
    <definedName name="solver_adj" localSheetId="1" hidden="1">'toothick'!$E$18</definedName>
    <definedName name="solver_cvg" localSheetId="0" hidden="1">0.001</definedName>
    <definedName name="solver_cvg" localSheetId="1" hidden="1">0.001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'gearcalc'!$F$65</definedName>
    <definedName name="solver_opt" localSheetId="1" hidden="1">'toothick'!$E$16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3</definedName>
    <definedName name="solver_typ" localSheetId="1" hidden="1">3</definedName>
    <definedName name="solver_val" localSheetId="0" hidden="1">0.018173</definedName>
    <definedName name="solver_val" localSheetId="1" hidden="1">0.023101241</definedName>
  </definedNames>
  <calcPr fullCalcOnLoad="1"/>
</workbook>
</file>

<file path=xl/sharedStrings.xml><?xml version="1.0" encoding="utf-8"?>
<sst xmlns="http://schemas.openxmlformats.org/spreadsheetml/2006/main" count="254" uniqueCount="232">
  <si>
    <t>DIAMETRAL PITCH SYSTEM (INCH) UNITS</t>
  </si>
  <si>
    <t>BASIC GEOMETRY:-</t>
  </si>
  <si>
    <t>PART NUMBER OF GEAR:</t>
  </si>
  <si>
    <t>Centre distance (Std.):</t>
  </si>
  <si>
    <t>Centre distance extension:</t>
  </si>
  <si>
    <t>Pitch circle dia (Std.):</t>
  </si>
  <si>
    <t>Profile shift coefficient:</t>
  </si>
  <si>
    <t>Dedendum:</t>
  </si>
  <si>
    <t>Whole depth of tooth:</t>
  </si>
  <si>
    <t>Major diameter:</t>
  </si>
  <si>
    <t>Root diameter (nom.):</t>
  </si>
  <si>
    <t>Number of teeth:</t>
  </si>
  <si>
    <t>Pinion</t>
  </si>
  <si>
    <t>Root clearance value:</t>
  </si>
  <si>
    <t>Extended centre distance:</t>
  </si>
  <si>
    <t>h=(A+B)</t>
  </si>
  <si>
    <t>Upper case or 'p' denotes pinion</t>
  </si>
  <si>
    <t>Lower case or 'w' denotes wheel</t>
  </si>
  <si>
    <t>Common</t>
  </si>
  <si>
    <t>Formula</t>
  </si>
  <si>
    <t>Sum of profile shift coefficient:</t>
  </si>
  <si>
    <r>
      <t>c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(input)</t>
    </r>
  </si>
  <si>
    <r>
      <t>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(input)</t>
    </r>
  </si>
  <si>
    <t>Addendum:</t>
  </si>
  <si>
    <t>t (T) (input)</t>
  </si>
  <si>
    <r>
      <t>k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,k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(proportioned/gear)</t>
    </r>
  </si>
  <si>
    <t>Tooth thickness tolerance:</t>
  </si>
  <si>
    <r>
      <t>d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=d-2B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; D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=D-2B</t>
    </r>
    <r>
      <rPr>
        <vertAlign val="subscript"/>
        <sz val="10"/>
        <rFont val="Arial"/>
        <family val="2"/>
      </rPr>
      <t>w</t>
    </r>
  </si>
  <si>
    <r>
      <t>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=2t.C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/(T+t) ; 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=2T.C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/(T+t)</t>
    </r>
  </si>
  <si>
    <t>Ref.</t>
  </si>
  <si>
    <t>This program computes gear and tooth proportions for gears operating on standard or extended centres in response to input data :-</t>
  </si>
  <si>
    <t>cells</t>
  </si>
  <si>
    <r>
      <t>NORMAL PRESSURE ANGLE (PA) (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 - degrees:</t>
    </r>
  </si>
  <si>
    <r>
      <t>NORMAL DIAMETRAL PITCH (P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):</t>
    </r>
  </si>
  <si>
    <r>
      <t>HELIX ANGLE (</t>
    </r>
    <r>
      <rPr>
        <sz val="10"/>
        <rFont val="Symbol"/>
        <family val="1"/>
      </rPr>
      <t>s</t>
    </r>
    <r>
      <rPr>
        <sz val="10"/>
        <rFont val="Arial"/>
        <family val="2"/>
      </rPr>
      <t>) - degrees:</t>
    </r>
  </si>
  <si>
    <t>EXTERNAL INVOLUTE HELICAL GEAR DATA</t>
  </si>
  <si>
    <t>Direction of helix</t>
  </si>
  <si>
    <t>Left or right hand</t>
  </si>
  <si>
    <r>
      <t>d=t/P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/cos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; D=T/P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/cos</t>
    </r>
    <r>
      <rPr>
        <sz val="10"/>
        <rFont val="Symbol"/>
        <family val="1"/>
      </rPr>
      <t>s</t>
    </r>
  </si>
  <si>
    <t>4.31.2</t>
  </si>
  <si>
    <t>7.2.1</t>
  </si>
  <si>
    <t>7.5.1</t>
  </si>
  <si>
    <t>7.5.2</t>
  </si>
  <si>
    <t>7.5.3</t>
  </si>
  <si>
    <r>
      <t>S</t>
    </r>
    <r>
      <rPr>
        <sz val="10"/>
        <rFont val="Arial"/>
        <family val="2"/>
      </rPr>
      <t>k=C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-1/2</t>
    </r>
    <r>
      <rPr>
        <sz val="10"/>
        <rFont val="Symbol"/>
        <family val="1"/>
      </rPr>
      <t>S</t>
    </r>
    <r>
      <rPr>
        <sz val="10"/>
        <rFont val="Arial"/>
        <family val="2"/>
      </rPr>
      <t>T/cos</t>
    </r>
    <r>
      <rPr>
        <sz val="10"/>
        <rFont val="Symbol"/>
        <family val="1"/>
      </rPr>
      <t>s</t>
    </r>
  </si>
  <si>
    <r>
      <t>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=arc tan{tan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/cos</t>
    </r>
    <r>
      <rPr>
        <sz val="10"/>
        <rFont val="Symbol"/>
        <family val="1"/>
      </rPr>
      <t>s}</t>
    </r>
  </si>
  <si>
    <t>4.18.1</t>
  </si>
  <si>
    <t>Base circle dia.:</t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</si>
  <si>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=dcos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; </t>
    </r>
    <r>
      <rPr>
        <sz val="10"/>
        <rFont val="Arial"/>
        <family val="0"/>
      </rP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=Dcos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</t>
    </r>
  </si>
  <si>
    <t>4.20.3</t>
  </si>
  <si>
    <t>Backlash allowance:</t>
  </si>
  <si>
    <r>
      <t>z</t>
    </r>
    <r>
      <rPr>
        <vertAlign val="subscript"/>
        <sz val="10"/>
        <rFont val="Arial"/>
        <family val="2"/>
      </rPr>
      <t>ap</t>
    </r>
    <r>
      <rPr>
        <sz val="10"/>
        <rFont val="Arial"/>
        <family val="2"/>
      </rPr>
      <t xml:space="preserve"> ; z</t>
    </r>
    <r>
      <rPr>
        <vertAlign val="subscript"/>
        <sz val="10"/>
        <rFont val="Arial"/>
        <family val="2"/>
      </rPr>
      <t>aw</t>
    </r>
  </si>
  <si>
    <t>7.22.1</t>
  </si>
  <si>
    <t xml:space="preserve">Nomenclature based on: GEAR ENGINEERING - H.E.Merritt.* </t>
  </si>
  <si>
    <t>Ref.* Calculation sequence CS9 :-</t>
  </si>
  <si>
    <t>4.28.1</t>
  </si>
  <si>
    <r>
      <t>Pitch circle pin dia. (P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=1):</t>
    </r>
  </si>
  <si>
    <t>Pitch circle pin dia., actual:</t>
  </si>
  <si>
    <r>
      <t>J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=J</t>
    </r>
    <r>
      <rPr>
        <vertAlign val="superscript"/>
        <sz val="10"/>
        <rFont val="Arial"/>
        <family val="2"/>
      </rPr>
      <t>1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/P</t>
    </r>
    <r>
      <rPr>
        <vertAlign val="subscript"/>
        <sz val="10"/>
        <rFont val="Arial"/>
        <family val="2"/>
      </rPr>
      <t>n</t>
    </r>
  </si>
  <si>
    <t>Dia. of gauge pin or ball:</t>
  </si>
  <si>
    <r>
      <t>J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(chosen)</t>
    </r>
  </si>
  <si>
    <t>Pin diameter difference:</t>
  </si>
  <si>
    <t>Base circle dia. (spur):</t>
  </si>
  <si>
    <t>4.4.4</t>
  </si>
  <si>
    <r>
      <t>d</t>
    </r>
    <r>
      <rPr>
        <vertAlign val="subscript"/>
        <sz val="10"/>
        <rFont val="Arial"/>
        <family val="2"/>
      </rPr>
      <t>os</t>
    </r>
    <r>
      <rPr>
        <sz val="10"/>
        <rFont val="Arial"/>
        <family val="2"/>
      </rPr>
      <t>=dcos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/P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: D</t>
    </r>
    <r>
      <rPr>
        <vertAlign val="subscript"/>
        <sz val="10"/>
        <rFont val="Arial"/>
        <family val="2"/>
      </rPr>
      <t>os</t>
    </r>
    <r>
      <rPr>
        <sz val="10"/>
        <rFont val="Arial"/>
        <family val="2"/>
      </rPr>
      <t>=Dcos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/P</t>
    </r>
    <r>
      <rPr>
        <vertAlign val="subscript"/>
        <sz val="10"/>
        <rFont val="Arial"/>
        <family val="2"/>
      </rPr>
      <t>n</t>
    </r>
  </si>
  <si>
    <r>
      <t>D</t>
    </r>
    <r>
      <rPr>
        <sz val="10"/>
        <rFont val="Arial"/>
        <family val="2"/>
      </rPr>
      <t>J=</t>
    </r>
    <r>
      <rPr>
        <sz val="10"/>
        <rFont val="Arial"/>
        <family val="0"/>
      </rPr>
      <t>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-J</t>
    </r>
    <r>
      <rPr>
        <vertAlign val="subscript"/>
        <sz val="10"/>
        <rFont val="Arial"/>
        <family val="2"/>
      </rPr>
      <t>o</t>
    </r>
  </si>
  <si>
    <t>4.14.3</t>
  </si>
  <si>
    <t>Involute increment:</t>
  </si>
  <si>
    <t>Involute funct. of trans. pr. angle:</t>
  </si>
  <si>
    <r>
      <t>inv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=tan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-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</t>
    </r>
  </si>
  <si>
    <t>Involute funct. of trans. cont. angle:</t>
  </si>
  <si>
    <r>
      <t>enter value of inv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into solver</t>
    </r>
  </si>
  <si>
    <t>Transverse contact angle:</t>
  </si>
  <si>
    <r>
      <t>y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from solver</t>
    </r>
  </si>
  <si>
    <r>
      <t>M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=cosec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/2</t>
    </r>
  </si>
  <si>
    <r>
      <t xml:space="preserve">Magnification factor corr. to 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:</t>
    </r>
  </si>
  <si>
    <t>Magnification factor, norm. contact:</t>
  </si>
  <si>
    <r>
      <t>Decrament for g</t>
    </r>
    <r>
      <rPr>
        <vertAlign val="subscript"/>
        <sz val="10"/>
        <rFont val="Arial"/>
        <family val="2"/>
      </rPr>
      <t>tol</t>
    </r>
    <r>
      <rPr>
        <sz val="10"/>
        <rFont val="Arial"/>
        <family val="2"/>
      </rPr>
      <t>:</t>
    </r>
  </si>
  <si>
    <r>
      <t>Decrament for z</t>
    </r>
    <r>
      <rPr>
        <vertAlign val="subscript"/>
        <sz val="10"/>
        <rFont val="Arial"/>
        <family val="2"/>
      </rPr>
      <t>a:</t>
    </r>
  </si>
  <si>
    <t>Diameter through pin centres:</t>
  </si>
  <si>
    <t>Diameter encircling balls, max:</t>
  </si>
  <si>
    <t>Diameter encircling balls, min:</t>
  </si>
  <si>
    <r>
      <t>C=(T+t)/cos</t>
    </r>
    <r>
      <rPr>
        <sz val="10"/>
        <rFont val="Symbol"/>
        <family val="1"/>
      </rPr>
      <t>s</t>
    </r>
    <r>
      <rPr>
        <sz val="10"/>
        <rFont val="Arial"/>
        <family val="0"/>
      </rPr>
      <t>/2/P</t>
    </r>
    <r>
      <rPr>
        <vertAlign val="subscript"/>
        <sz val="10"/>
        <rFont val="Arial"/>
        <family val="2"/>
      </rPr>
      <t>n</t>
    </r>
  </si>
  <si>
    <t>4.28.14</t>
  </si>
  <si>
    <t>4.28.10</t>
  </si>
  <si>
    <t>4.28.15</t>
  </si>
  <si>
    <t>Wheel</t>
  </si>
  <si>
    <r>
      <t>D</t>
    </r>
    <r>
      <rPr>
        <sz val="10"/>
        <rFont val="Arial"/>
        <family val="2"/>
      </rPr>
      <t>inv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=</t>
    </r>
    <r>
      <rPr>
        <sz val="10"/>
        <rFont val="Symbol"/>
        <family val="1"/>
      </rPr>
      <t>D</t>
    </r>
    <r>
      <rPr>
        <sz val="10"/>
        <rFont val="Arial"/>
        <family val="2"/>
      </rPr>
      <t>J/d</t>
    </r>
    <r>
      <rPr>
        <vertAlign val="subscript"/>
        <sz val="10"/>
        <rFont val="Arial"/>
        <family val="2"/>
      </rPr>
      <t>os</t>
    </r>
    <r>
      <rPr>
        <sz val="10"/>
        <rFont val="Arial"/>
        <family val="2"/>
      </rPr>
      <t xml:space="preserve"> ; </t>
    </r>
    <r>
      <rPr>
        <sz val="10"/>
        <rFont val="Symbol"/>
        <family val="1"/>
      </rPr>
      <t>D</t>
    </r>
    <r>
      <rPr>
        <sz val="10"/>
        <rFont val="Arial"/>
        <family val="2"/>
      </rPr>
      <t>inv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=</t>
    </r>
    <r>
      <rPr>
        <sz val="10"/>
        <rFont val="Symbol"/>
        <family val="1"/>
      </rPr>
      <t>D</t>
    </r>
    <r>
      <rPr>
        <sz val="10"/>
        <rFont val="Arial"/>
        <family val="2"/>
      </rPr>
      <t>J</t>
    </r>
    <r>
      <rPr>
        <sz val="10"/>
        <rFont val="Symbol"/>
        <family val="1"/>
      </rPr>
      <t>/</t>
    </r>
    <r>
      <rPr>
        <sz val="10"/>
        <rFont val="Arial"/>
        <family val="2"/>
      </rPr>
      <t>D</t>
    </r>
    <r>
      <rPr>
        <vertAlign val="subscript"/>
        <sz val="10"/>
        <rFont val="Arial"/>
        <family val="2"/>
      </rPr>
      <t>os</t>
    </r>
  </si>
  <si>
    <r>
      <t>inv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1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=inv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+</t>
    </r>
    <r>
      <rPr>
        <sz val="10"/>
        <rFont val="Symbol"/>
        <family val="1"/>
      </rPr>
      <t>D</t>
    </r>
    <r>
      <rPr>
        <sz val="10"/>
        <rFont val="Arial"/>
        <family val="2"/>
      </rPr>
      <t>inv</t>
    </r>
    <r>
      <rPr>
        <vertAlign val="subscript"/>
        <sz val="10"/>
        <rFont val="Arial"/>
        <family val="2"/>
      </rPr>
      <t xml:space="preserve">p ; </t>
    </r>
    <r>
      <rPr>
        <sz val="10"/>
        <rFont val="Arial"/>
        <family val="2"/>
      </rPr>
      <t>inv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1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=inv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+</t>
    </r>
    <r>
      <rPr>
        <sz val="10"/>
        <rFont val="Symbol"/>
        <family val="1"/>
      </rPr>
      <t>D</t>
    </r>
    <r>
      <rPr>
        <sz val="10"/>
        <rFont val="Arial"/>
        <family val="2"/>
      </rPr>
      <t>inv</t>
    </r>
    <r>
      <rPr>
        <vertAlign val="subscript"/>
        <sz val="10"/>
        <rFont val="Arial"/>
        <family val="2"/>
      </rPr>
      <t>w</t>
    </r>
  </si>
  <si>
    <r>
      <t>d</t>
    </r>
    <r>
      <rPr>
        <vertAlign val="subscript"/>
        <sz val="10"/>
        <rFont val="Arial"/>
        <family val="2"/>
      </rPr>
      <t>1 nom</t>
    </r>
    <r>
      <rPr>
        <sz val="10"/>
        <rFont val="Arial"/>
        <family val="2"/>
      </rPr>
      <t>=d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/cos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; </t>
    </r>
    <r>
      <rPr>
        <sz val="10"/>
        <rFont val="Arial"/>
        <family val="0"/>
      </rPr>
      <t>D</t>
    </r>
    <r>
      <rPr>
        <vertAlign val="subscript"/>
        <sz val="10"/>
        <rFont val="Arial"/>
        <family val="2"/>
      </rPr>
      <t>1 nom</t>
    </r>
    <r>
      <rPr>
        <sz val="10"/>
        <rFont val="Arial"/>
        <family val="2"/>
      </rPr>
      <t>=D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/cos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1</t>
    </r>
  </si>
  <si>
    <r>
      <t>m</t>
    </r>
    <r>
      <rPr>
        <vertAlign val="subscript"/>
        <sz val="10"/>
        <rFont val="Arial"/>
        <family val="2"/>
      </rPr>
      <t>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=M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/d</t>
    </r>
    <r>
      <rPr>
        <vertAlign val="subscript"/>
        <sz val="10"/>
        <rFont val="Arial"/>
        <family val="2"/>
      </rPr>
      <t>os</t>
    </r>
    <r>
      <rPr>
        <sz val="10"/>
        <rFont val="Arial"/>
        <family val="2"/>
      </rPr>
      <t xml:space="preserve"> ; </t>
    </r>
    <r>
      <rPr>
        <sz val="10"/>
        <rFont val="Arial"/>
        <family val="0"/>
      </rPr>
      <t>M</t>
    </r>
    <r>
      <rPr>
        <vertAlign val="subscript"/>
        <sz val="10"/>
        <rFont val="Arial"/>
        <family val="2"/>
      </rPr>
      <t>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=M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/D</t>
    </r>
    <r>
      <rPr>
        <vertAlign val="subscript"/>
        <sz val="10"/>
        <rFont val="Arial"/>
        <family val="2"/>
      </rPr>
      <t>os</t>
    </r>
  </si>
  <si>
    <r>
      <t>D</t>
    </r>
    <r>
      <rPr>
        <sz val="10"/>
        <rFont val="Arial"/>
        <family val="2"/>
      </rPr>
      <t>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=2m</t>
    </r>
    <r>
      <rPr>
        <vertAlign val="subscript"/>
        <sz val="10"/>
        <rFont val="Arial"/>
        <family val="2"/>
      </rPr>
      <t>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z</t>
    </r>
    <r>
      <rPr>
        <vertAlign val="subscript"/>
        <sz val="10"/>
        <rFont val="Arial"/>
        <family val="2"/>
      </rPr>
      <t>a p</t>
    </r>
    <r>
      <rPr>
        <sz val="10"/>
        <rFont val="Arial"/>
        <family val="2"/>
      </rPr>
      <t xml:space="preserve"> ; </t>
    </r>
    <r>
      <rPr>
        <sz val="10"/>
        <rFont val="Symbol"/>
        <family val="1"/>
      </rPr>
      <t>D</t>
    </r>
    <r>
      <rPr>
        <sz val="10"/>
        <rFont val="Arial"/>
        <family val="2"/>
      </rPr>
      <t>D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>=2M</t>
    </r>
    <r>
      <rPr>
        <vertAlign val="subscript"/>
        <sz val="10"/>
        <rFont val="Arial"/>
        <family val="2"/>
      </rPr>
      <t>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z</t>
    </r>
    <r>
      <rPr>
        <vertAlign val="subscript"/>
        <sz val="10"/>
        <rFont val="Arial"/>
        <family val="2"/>
      </rPr>
      <t>a w</t>
    </r>
  </si>
  <si>
    <r>
      <t>D</t>
    </r>
    <r>
      <rPr>
        <sz val="10"/>
        <rFont val="Arial"/>
        <family val="2"/>
      </rPr>
      <t>d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>=2m</t>
    </r>
    <r>
      <rPr>
        <vertAlign val="subscript"/>
        <sz val="10"/>
        <rFont val="Arial"/>
        <family val="2"/>
      </rPr>
      <t>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g</t>
    </r>
    <r>
      <rPr>
        <vertAlign val="subscript"/>
        <sz val="10"/>
        <rFont val="Arial"/>
        <family val="2"/>
      </rPr>
      <t>tol p</t>
    </r>
    <r>
      <rPr>
        <sz val="10"/>
        <rFont val="Arial"/>
        <family val="2"/>
      </rPr>
      <t xml:space="preserve"> ; </t>
    </r>
    <r>
      <rPr>
        <sz val="10"/>
        <rFont val="Symbol"/>
        <family val="1"/>
      </rPr>
      <t>D</t>
    </r>
    <r>
      <rPr>
        <sz val="10"/>
        <rFont val="Arial"/>
        <family val="2"/>
      </rPr>
      <t>D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>=2M</t>
    </r>
    <r>
      <rPr>
        <vertAlign val="subscript"/>
        <sz val="10"/>
        <rFont val="Arial"/>
        <family val="2"/>
      </rPr>
      <t>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g</t>
    </r>
    <r>
      <rPr>
        <vertAlign val="subscript"/>
        <sz val="10"/>
        <rFont val="Arial"/>
        <family val="2"/>
      </rPr>
      <t>tol w</t>
    </r>
  </si>
  <si>
    <t>RH</t>
  </si>
  <si>
    <r>
      <t>g</t>
    </r>
    <r>
      <rPr>
        <vertAlign val="subscript"/>
        <sz val="10"/>
        <rFont val="Arial"/>
        <family val="2"/>
      </rPr>
      <t xml:space="preserve">tol p ; </t>
    </r>
    <r>
      <rPr>
        <sz val="10"/>
        <rFont val="Arial"/>
        <family val="2"/>
      </rPr>
      <t>g</t>
    </r>
    <r>
      <rPr>
        <vertAlign val="subscript"/>
        <sz val="10"/>
        <rFont val="Arial"/>
        <family val="2"/>
      </rPr>
      <t>tol w</t>
    </r>
    <r>
      <rPr>
        <sz val="10"/>
        <rFont val="Arial"/>
        <family val="2"/>
      </rPr>
      <t xml:space="preserve"> (negative - uni-lateral)</t>
    </r>
  </si>
  <si>
    <t>HELICAL GEAR CREST WIDTH CALCULATION</t>
  </si>
  <si>
    <t>Unspecified data taken from 'gearcalc' worksheet</t>
  </si>
  <si>
    <t>Gear</t>
  </si>
  <si>
    <t>Pressure angle to outside dia,:</t>
  </si>
  <si>
    <r>
      <t>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=cos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/D</t>
    </r>
    <r>
      <rPr>
        <vertAlign val="subscript"/>
        <sz val="10"/>
        <rFont val="Arial"/>
        <family val="2"/>
      </rPr>
      <t>2</t>
    </r>
  </si>
  <si>
    <t>4.7.7</t>
  </si>
  <si>
    <r>
      <t>G</t>
    </r>
    <r>
      <rPr>
        <vertAlign val="subscript"/>
        <sz val="10"/>
        <rFont val="Arial"/>
        <family val="2"/>
      </rPr>
      <t>max p</t>
    </r>
    <r>
      <rPr>
        <sz val="10"/>
        <rFont val="Arial"/>
        <family val="2"/>
      </rPr>
      <t>=d</t>
    </r>
    <r>
      <rPr>
        <vertAlign val="subscript"/>
        <sz val="10"/>
        <rFont val="Arial"/>
        <family val="2"/>
      </rPr>
      <t>1 nom</t>
    </r>
    <r>
      <rPr>
        <sz val="10"/>
        <rFont val="Arial"/>
        <family val="2"/>
      </rPr>
      <t>-</t>
    </r>
    <r>
      <rPr>
        <sz val="10"/>
        <rFont val="Symbol"/>
        <family val="1"/>
      </rPr>
      <t>D</t>
    </r>
    <r>
      <rPr>
        <sz val="10"/>
        <rFont val="Arial"/>
        <family val="2"/>
      </rPr>
      <t>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+J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; </t>
    </r>
    <r>
      <rPr>
        <sz val="10"/>
        <rFont val="Arial"/>
        <family val="0"/>
      </rPr>
      <t>G</t>
    </r>
    <r>
      <rPr>
        <vertAlign val="subscript"/>
        <sz val="10"/>
        <rFont val="Arial"/>
        <family val="2"/>
      </rPr>
      <t>max w</t>
    </r>
    <r>
      <rPr>
        <sz val="10"/>
        <rFont val="Arial"/>
        <family val="2"/>
      </rPr>
      <t>=</t>
    </r>
    <r>
      <rPr>
        <sz val="10"/>
        <rFont val="Arial"/>
        <family val="0"/>
      </rPr>
      <t>D</t>
    </r>
    <r>
      <rPr>
        <vertAlign val="subscript"/>
        <sz val="10"/>
        <rFont val="Arial"/>
        <family val="2"/>
      </rPr>
      <t>1 nom</t>
    </r>
    <r>
      <rPr>
        <sz val="10"/>
        <rFont val="Arial"/>
        <family val="2"/>
      </rPr>
      <t>-</t>
    </r>
    <r>
      <rPr>
        <sz val="10"/>
        <rFont val="Symbol"/>
        <family val="1"/>
      </rPr>
      <t>D</t>
    </r>
    <r>
      <rPr>
        <sz val="10"/>
        <rFont val="Arial"/>
        <family val="2"/>
      </rPr>
      <t>D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>+J</t>
    </r>
    <r>
      <rPr>
        <vertAlign val="subscript"/>
        <sz val="10"/>
        <rFont val="Arial"/>
        <family val="2"/>
      </rPr>
      <t>1</t>
    </r>
  </si>
  <si>
    <r>
      <t>G</t>
    </r>
    <r>
      <rPr>
        <vertAlign val="subscript"/>
        <sz val="10"/>
        <rFont val="Arial"/>
        <family val="2"/>
      </rPr>
      <t>min p</t>
    </r>
    <r>
      <rPr>
        <sz val="10"/>
        <rFont val="Arial"/>
        <family val="2"/>
      </rPr>
      <t>=G</t>
    </r>
    <r>
      <rPr>
        <vertAlign val="subscript"/>
        <sz val="10"/>
        <rFont val="Arial"/>
        <family val="2"/>
      </rPr>
      <t>max p</t>
    </r>
    <r>
      <rPr>
        <sz val="10"/>
        <rFont val="Arial"/>
        <family val="2"/>
      </rPr>
      <t>-</t>
    </r>
    <r>
      <rPr>
        <sz val="10"/>
        <rFont val="Symbol"/>
        <family val="1"/>
      </rPr>
      <t>D</t>
    </r>
    <r>
      <rPr>
        <sz val="10"/>
        <rFont val="Arial"/>
        <family val="2"/>
      </rPr>
      <t>d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 xml:space="preserve"> ; </t>
    </r>
    <r>
      <rPr>
        <sz val="10"/>
        <rFont val="Arial"/>
        <family val="0"/>
      </rPr>
      <t>G</t>
    </r>
    <r>
      <rPr>
        <vertAlign val="subscript"/>
        <sz val="10"/>
        <rFont val="Arial"/>
        <family val="2"/>
      </rPr>
      <t>min w</t>
    </r>
    <r>
      <rPr>
        <sz val="10"/>
        <rFont val="Arial"/>
        <family val="2"/>
      </rPr>
      <t>=G</t>
    </r>
    <r>
      <rPr>
        <vertAlign val="subscript"/>
        <sz val="10"/>
        <rFont val="Arial"/>
        <family val="2"/>
      </rPr>
      <t>max w</t>
    </r>
    <r>
      <rPr>
        <sz val="10"/>
        <rFont val="Arial"/>
        <family val="2"/>
      </rPr>
      <t>-</t>
    </r>
    <r>
      <rPr>
        <sz val="10"/>
        <rFont val="Symbol"/>
        <family val="1"/>
      </rPr>
      <t>D</t>
    </r>
    <r>
      <rPr>
        <sz val="10"/>
        <rFont val="Arial"/>
        <family val="2"/>
      </rPr>
      <t>D</t>
    </r>
    <r>
      <rPr>
        <vertAlign val="subscript"/>
        <sz val="10"/>
        <rFont val="Arial"/>
        <family val="2"/>
      </rPr>
      <t>g</t>
    </r>
  </si>
  <si>
    <t>Transverse nominal circular tooth thickness at operating pitch circle:</t>
  </si>
  <si>
    <t>Transverse pressure angle of engagement:</t>
  </si>
  <si>
    <r>
      <t>y</t>
    </r>
    <r>
      <rPr>
        <vertAlign val="subscript"/>
        <sz val="10"/>
        <rFont val="Arial"/>
        <family val="2"/>
      </rPr>
      <t>te</t>
    </r>
    <r>
      <rPr>
        <sz val="10"/>
        <rFont val="Arial"/>
        <family val="2"/>
      </rPr>
      <t>=cos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[cos{tan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(tan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/cos</t>
    </r>
    <r>
      <rPr>
        <sz val="10"/>
        <rFont val="Symbol"/>
        <family val="1"/>
      </rPr>
      <t>s</t>
    </r>
    <r>
      <rPr>
        <sz val="10"/>
        <rFont val="Arial"/>
        <family val="2"/>
      </rPr>
      <t>)}C/C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]</t>
    </r>
  </si>
  <si>
    <t>4.33.4</t>
  </si>
  <si>
    <t>Transverse pressure angle (std. ctrs.):</t>
  </si>
  <si>
    <r>
      <t>y</t>
    </r>
    <r>
      <rPr>
        <vertAlign val="subscript"/>
        <sz val="10"/>
        <rFont val="Arial"/>
        <family val="2"/>
      </rPr>
      <t>te</t>
    </r>
    <r>
      <rPr>
        <sz val="10"/>
        <rFont val="Arial"/>
        <family val="2"/>
      </rPr>
      <t>=cos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(cos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.C/C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)</t>
    </r>
  </si>
  <si>
    <r>
      <t>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=tan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(tan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/cos</t>
    </r>
    <r>
      <rPr>
        <sz val="10"/>
        <rFont val="Symbol"/>
        <family val="1"/>
      </rPr>
      <t>s</t>
    </r>
    <r>
      <rPr>
        <sz val="10"/>
        <rFont val="Arial"/>
        <family val="2"/>
      </rPr>
      <t>)</t>
    </r>
  </si>
  <si>
    <t>Transverse pressure angle of engagement at extended centres:</t>
  </si>
  <si>
    <t>{Calculation reference {check for line 12 only</t>
  </si>
  <si>
    <t>Transverse' is in plane of rotation.</t>
  </si>
  <si>
    <t>Contact ratio in transverse plane.</t>
  </si>
  <si>
    <t>Data extracted from 'gearcalc' worksheet.</t>
  </si>
  <si>
    <t>Transverse involute contact ratio:</t>
  </si>
  <si>
    <r>
      <t>m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={(R</t>
    </r>
    <r>
      <rPr>
        <vertAlign val="subscript"/>
        <sz val="10"/>
        <rFont val="Arial"/>
        <family val="2"/>
      </rPr>
      <t>op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-R</t>
    </r>
    <r>
      <rPr>
        <vertAlign val="subscript"/>
        <sz val="10"/>
        <rFont val="Arial"/>
        <family val="2"/>
      </rPr>
      <t>bp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2"/>
      </rPr>
      <t>+(R</t>
    </r>
    <r>
      <rPr>
        <vertAlign val="subscript"/>
        <sz val="10"/>
        <rFont val="Arial"/>
        <family val="2"/>
      </rPr>
      <t>ow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-R</t>
    </r>
    <r>
      <rPr>
        <vertAlign val="subscript"/>
        <sz val="10"/>
        <rFont val="Arial"/>
        <family val="2"/>
      </rPr>
      <t>bw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2"/>
      </rPr>
      <t>-C.sin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}/p/cos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</t>
    </r>
  </si>
  <si>
    <t>Circular pitch:</t>
  </si>
  <si>
    <t>Buckingham method:</t>
  </si>
  <si>
    <t>Merritt method:</t>
  </si>
  <si>
    <t>Transverse base pitch:</t>
  </si>
  <si>
    <r>
      <t>p</t>
    </r>
    <r>
      <rPr>
        <vertAlign val="subscript"/>
        <sz val="10"/>
        <rFont val="Arial"/>
        <family val="2"/>
      </rPr>
      <t>ot</t>
    </r>
    <r>
      <rPr>
        <sz val="10"/>
        <rFont val="Arial"/>
        <family val="2"/>
      </rPr>
      <t>=</t>
    </r>
    <r>
      <rPr>
        <sz val="10"/>
        <rFont val="Symbol"/>
        <family val="1"/>
      </rPr>
      <t>p</t>
    </r>
    <r>
      <rPr>
        <sz val="10"/>
        <rFont val="Arial"/>
        <family val="2"/>
      </rPr>
      <t>.d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/t</t>
    </r>
  </si>
  <si>
    <t>Extended transverse pressure angle:</t>
  </si>
  <si>
    <r>
      <t>y</t>
    </r>
    <r>
      <rPr>
        <vertAlign val="subscript"/>
        <sz val="10"/>
        <rFont val="Arial"/>
        <family val="2"/>
      </rPr>
      <t>te</t>
    </r>
    <r>
      <rPr>
        <sz val="10"/>
        <rFont val="Arial"/>
        <family val="2"/>
      </rPr>
      <t>=cos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(C.cos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)</t>
    </r>
  </si>
  <si>
    <t>12.18.3</t>
  </si>
  <si>
    <t>12.17(I)</t>
  </si>
  <si>
    <t>12.18.5</t>
  </si>
  <si>
    <t>Extended transverse helix angle:</t>
  </si>
  <si>
    <r>
      <t>y</t>
    </r>
    <r>
      <rPr>
        <vertAlign val="subscript"/>
        <sz val="10"/>
        <rFont val="Arial"/>
        <family val="2"/>
      </rPr>
      <t>ne</t>
    </r>
    <r>
      <rPr>
        <sz val="10"/>
        <rFont val="Arial"/>
        <family val="2"/>
      </rPr>
      <t>=tan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(tan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te</t>
    </r>
    <r>
      <rPr>
        <sz val="10"/>
        <rFont val="Arial"/>
        <family val="2"/>
      </rPr>
      <t>/cos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)</t>
    </r>
  </si>
  <si>
    <r>
      <t>s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=tan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(C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/C.tan</t>
    </r>
    <r>
      <rPr>
        <sz val="10"/>
        <rFont val="Symbol"/>
        <family val="1"/>
      </rPr>
      <t>s</t>
    </r>
    <r>
      <rPr>
        <sz val="10"/>
        <rFont val="Arial"/>
        <family val="2"/>
      </rPr>
      <t>)</t>
    </r>
  </si>
  <si>
    <t>12.18.6</t>
  </si>
  <si>
    <t>Length of addendum path of contact:</t>
  </si>
  <si>
    <t>12.17(III)</t>
  </si>
  <si>
    <t>Transverse extended addendum contact ratio:</t>
  </si>
  <si>
    <r>
      <t>Q</t>
    </r>
    <r>
      <rPr>
        <vertAlign val="subscript"/>
        <sz val="10"/>
        <rFont val="Arial"/>
        <family val="2"/>
      </rPr>
      <t>ctep</t>
    </r>
    <r>
      <rPr>
        <sz val="10"/>
        <rFont val="Arial"/>
        <family val="2"/>
      </rPr>
      <t>=l</t>
    </r>
    <r>
      <rPr>
        <vertAlign val="subscript"/>
        <sz val="10"/>
        <rFont val="Arial"/>
        <family val="2"/>
      </rPr>
      <t>pp</t>
    </r>
    <r>
      <rPr>
        <sz val="10"/>
        <rFont val="Arial"/>
        <family val="2"/>
      </rPr>
      <t>/p</t>
    </r>
    <r>
      <rPr>
        <vertAlign val="subscript"/>
        <sz val="10"/>
        <rFont val="Arial"/>
        <family val="2"/>
      </rPr>
      <t>ot</t>
    </r>
    <r>
      <rPr>
        <sz val="10"/>
        <rFont val="Arial"/>
        <family val="2"/>
      </rPr>
      <t xml:space="preserve"> ; Q</t>
    </r>
    <r>
      <rPr>
        <vertAlign val="subscript"/>
        <sz val="10"/>
        <rFont val="Arial"/>
        <family val="2"/>
      </rPr>
      <t>ctew</t>
    </r>
    <r>
      <rPr>
        <sz val="10"/>
        <rFont val="Arial"/>
        <family val="2"/>
      </rPr>
      <t>=l</t>
    </r>
    <r>
      <rPr>
        <vertAlign val="subscript"/>
        <sz val="10"/>
        <rFont val="Arial"/>
        <family val="2"/>
      </rPr>
      <t>pw</t>
    </r>
    <r>
      <rPr>
        <sz val="10"/>
        <rFont val="Arial"/>
        <family val="2"/>
      </rPr>
      <t>/p</t>
    </r>
    <r>
      <rPr>
        <vertAlign val="subscript"/>
        <sz val="10"/>
        <rFont val="Arial"/>
        <family val="2"/>
      </rPr>
      <t>ot</t>
    </r>
  </si>
  <si>
    <t>12.17(vii)</t>
  </si>
  <si>
    <t>12.17(v1)</t>
  </si>
  <si>
    <t>Normal extended contact ratio:</t>
  </si>
  <si>
    <r>
      <t>Q</t>
    </r>
    <r>
      <rPr>
        <vertAlign val="subscript"/>
        <sz val="10"/>
        <rFont val="Arial"/>
        <family val="2"/>
      </rPr>
      <t>cte</t>
    </r>
    <r>
      <rPr>
        <sz val="10"/>
        <rFont val="Arial"/>
        <family val="0"/>
      </rPr>
      <t>=Q</t>
    </r>
    <r>
      <rPr>
        <vertAlign val="subscript"/>
        <sz val="10"/>
        <rFont val="Arial"/>
        <family val="2"/>
      </rPr>
      <t>ctep</t>
    </r>
    <r>
      <rPr>
        <sz val="10"/>
        <rFont val="Arial"/>
        <family val="2"/>
      </rPr>
      <t>+Q</t>
    </r>
    <r>
      <rPr>
        <vertAlign val="subscript"/>
        <sz val="10"/>
        <rFont val="Arial"/>
        <family val="2"/>
      </rPr>
      <t>ctew</t>
    </r>
  </si>
  <si>
    <t>Base helix angle:</t>
  </si>
  <si>
    <r>
      <t>s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=sin</t>
    </r>
    <r>
      <rPr>
        <sz val="10"/>
        <rFont val="Symbol"/>
        <family val="1"/>
      </rPr>
      <t>s</t>
    </r>
    <r>
      <rPr>
        <sz val="10"/>
        <rFont val="Arial"/>
        <family val="2"/>
      </rPr>
      <t>.cos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n</t>
    </r>
  </si>
  <si>
    <t>7.2(4.20(5))</t>
  </si>
  <si>
    <r>
      <t>Transverse extended contact ratio</t>
    </r>
    <r>
      <rPr>
        <sz val="10"/>
        <rFont val="Arial"/>
        <family val="0"/>
      </rPr>
      <t>:</t>
    </r>
  </si>
  <si>
    <r>
      <t>Q</t>
    </r>
    <r>
      <rPr>
        <vertAlign val="subscript"/>
        <sz val="10"/>
        <rFont val="Arial"/>
        <family val="2"/>
      </rPr>
      <t>cne</t>
    </r>
    <r>
      <rPr>
        <sz val="10"/>
        <rFont val="Arial"/>
        <family val="2"/>
      </rPr>
      <t>=Q</t>
    </r>
    <r>
      <rPr>
        <vertAlign val="subscript"/>
        <sz val="10"/>
        <rFont val="Arial"/>
        <family val="2"/>
      </rPr>
      <t>cte</t>
    </r>
    <r>
      <rPr>
        <sz val="10"/>
        <rFont val="Arial"/>
        <family val="2"/>
      </rPr>
      <t>/cos</t>
    </r>
    <r>
      <rPr>
        <vertAlign val="superscript"/>
        <sz val="10"/>
        <rFont val="Arial"/>
        <family val="2"/>
      </rPr>
      <t>2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o</t>
    </r>
  </si>
  <si>
    <t>Extended normal pressure angle:</t>
  </si>
  <si>
    <r>
      <t>l</t>
    </r>
    <r>
      <rPr>
        <vertAlign val="subscript"/>
        <sz val="10"/>
        <rFont val="Arial"/>
        <family val="2"/>
      </rPr>
      <t>pp</t>
    </r>
    <r>
      <rPr>
        <sz val="10"/>
        <rFont val="Arial"/>
        <family val="2"/>
      </rPr>
      <t>=(d</t>
    </r>
    <r>
      <rPr>
        <vertAlign val="subscript"/>
        <sz val="10"/>
        <rFont val="Arial"/>
        <family val="2"/>
      </rPr>
      <t>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-d</t>
    </r>
    <r>
      <rPr>
        <vertAlign val="subscript"/>
        <sz val="10"/>
        <rFont val="Arial"/>
        <family val="2"/>
      </rPr>
      <t>o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2"/>
      </rPr>
      <t>/2-d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.sin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te</t>
    </r>
    <r>
      <rPr>
        <sz val="10"/>
        <rFont val="Arial"/>
        <family val="2"/>
      </rPr>
      <t>/2                                 l</t>
    </r>
    <r>
      <rPr>
        <vertAlign val="subscript"/>
        <sz val="10"/>
        <rFont val="Arial"/>
        <family val="2"/>
      </rPr>
      <t>pw</t>
    </r>
    <r>
      <rPr>
        <sz val="10"/>
        <rFont val="Arial"/>
        <family val="2"/>
      </rPr>
      <t>=(D</t>
    </r>
    <r>
      <rPr>
        <vertAlign val="subscript"/>
        <sz val="10"/>
        <rFont val="Arial"/>
        <family val="2"/>
      </rPr>
      <t>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-D</t>
    </r>
    <r>
      <rPr>
        <vertAlign val="subscript"/>
        <sz val="10"/>
        <rFont val="Arial"/>
        <family val="2"/>
      </rPr>
      <t>o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2"/>
      </rPr>
      <t>/2-D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.sin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te</t>
    </r>
    <r>
      <rPr>
        <sz val="10"/>
        <rFont val="Arial"/>
        <family val="2"/>
      </rPr>
      <t>/2</t>
    </r>
  </si>
  <si>
    <t>Amount of topping (radial):</t>
  </si>
  <si>
    <r>
      <t>A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=(1+k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)/P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-</t>
    </r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ap</t>
    </r>
    <r>
      <rPr>
        <sz val="10"/>
        <rFont val="Arial"/>
        <family val="0"/>
      </rPr>
      <t xml:space="preserve"> ; 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=(1+k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)/P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-</t>
    </r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aw</t>
    </r>
  </si>
  <si>
    <r>
      <t>d</t>
    </r>
    <r>
      <rPr>
        <vertAlign val="subscript"/>
        <sz val="10"/>
        <rFont val="Arial"/>
        <family val="2"/>
      </rPr>
      <t>ap</t>
    </r>
    <r>
      <rPr>
        <sz val="10"/>
        <rFont val="Arial"/>
        <family val="0"/>
      </rPr>
      <t>=d+2A</t>
    </r>
    <r>
      <rPr>
        <vertAlign val="subscript"/>
        <sz val="10"/>
        <rFont val="Arial"/>
        <family val="2"/>
      </rPr>
      <t>p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; D</t>
    </r>
    <r>
      <rPr>
        <vertAlign val="subscript"/>
        <sz val="10"/>
        <rFont val="Arial"/>
        <family val="2"/>
      </rPr>
      <t>aw</t>
    </r>
    <r>
      <rPr>
        <sz val="10"/>
        <rFont val="Arial"/>
        <family val="2"/>
      </rPr>
      <t>=D+2A</t>
    </r>
    <r>
      <rPr>
        <vertAlign val="subscript"/>
        <sz val="10"/>
        <rFont val="Arial"/>
        <family val="2"/>
      </rPr>
      <t>w</t>
    </r>
  </si>
  <si>
    <r>
      <t>d</t>
    </r>
    <r>
      <rPr>
        <sz val="10"/>
        <rFont val="Arial"/>
        <family val="2"/>
      </rPr>
      <t>a (if required by crest width or contact ratio):</t>
    </r>
  </si>
  <si>
    <t>EXTERNAL INVOLUTE HELICAL GEAR TOOTH THICKNESS ANALYSIS</t>
  </si>
  <si>
    <t>Pitch radius:</t>
  </si>
  <si>
    <r>
      <t>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; r</t>
    </r>
    <r>
      <rPr>
        <vertAlign val="subscript"/>
        <sz val="10"/>
        <rFont val="Arial"/>
        <family val="2"/>
      </rPr>
      <t>2</t>
    </r>
  </si>
  <si>
    <r>
      <t>N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: N</t>
    </r>
    <r>
      <rPr>
        <vertAlign val="subscript"/>
        <sz val="10"/>
        <rFont val="Arial"/>
        <family val="2"/>
      </rPr>
      <t>2</t>
    </r>
  </si>
  <si>
    <t>Transverse pressure angle at pitch radius:</t>
  </si>
  <si>
    <t>Unspecified data extracted from other worksheets.</t>
  </si>
  <si>
    <t>Transverse pressure angle at mesh centres:</t>
  </si>
  <si>
    <r>
      <t>f</t>
    </r>
    <r>
      <rPr>
        <vertAlign val="subscript"/>
        <sz val="10"/>
        <rFont val="Arial"/>
        <family val="2"/>
      </rPr>
      <t>2</t>
    </r>
  </si>
  <si>
    <t>Normal nominal tooth thickness (std.):</t>
  </si>
  <si>
    <t>Transverse nominal tooth thickness (std.):</t>
  </si>
  <si>
    <r>
      <t>Arc tooth thickness at r</t>
    </r>
    <r>
      <rPr>
        <vertAlign val="subscript"/>
        <sz val="10"/>
        <rFont val="Arial"/>
        <family val="2"/>
      </rPr>
      <t xml:space="preserve">1 ; </t>
    </r>
    <r>
      <rPr>
        <sz val="10"/>
        <rFont val="Arial"/>
        <family val="2"/>
      </rPr>
      <t>r</t>
    </r>
    <r>
      <rPr>
        <vertAlign val="subscript"/>
        <sz val="10"/>
        <rFont val="Arial"/>
        <family val="2"/>
      </rPr>
      <t>2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</si>
  <si>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; T</t>
    </r>
    <r>
      <rPr>
        <vertAlign val="subscript"/>
        <sz val="10"/>
        <rFont val="Arial"/>
        <family val="2"/>
      </rPr>
      <t>2</t>
    </r>
  </si>
  <si>
    <r>
      <t>g</t>
    </r>
    <r>
      <rPr>
        <vertAlign val="subscript"/>
        <sz val="10"/>
        <rFont val="Arial"/>
        <family val="2"/>
      </rPr>
      <t>n(p,w)</t>
    </r>
    <r>
      <rPr>
        <sz val="10"/>
        <rFont val="Arial"/>
        <family val="2"/>
      </rPr>
      <t>=(</t>
    </r>
    <r>
      <rPr>
        <sz val="10"/>
        <rFont val="Symbol"/>
        <family val="1"/>
      </rPr>
      <t>p</t>
    </r>
    <r>
      <rPr>
        <sz val="10"/>
        <rFont val="Arial"/>
        <family val="2"/>
      </rPr>
      <t>/2+2.k</t>
    </r>
    <r>
      <rPr>
        <vertAlign val="subscript"/>
        <sz val="10"/>
        <rFont val="Arial"/>
        <family val="2"/>
      </rPr>
      <t>p,w</t>
    </r>
    <r>
      <rPr>
        <sz val="10"/>
        <rFont val="Arial"/>
        <family val="2"/>
      </rPr>
      <t>tan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)/P</t>
    </r>
    <r>
      <rPr>
        <vertAlign val="subscript"/>
        <sz val="10"/>
        <rFont val="Arial"/>
        <family val="2"/>
      </rPr>
      <t>n</t>
    </r>
  </si>
  <si>
    <t>Tooth thickness at close mesh calculation per Buckingham method and nomenclature:</t>
  </si>
  <si>
    <r>
      <t xml:space="preserve">Center distance at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:</t>
    </r>
  </si>
  <si>
    <r>
      <t>f</t>
    </r>
    <r>
      <rPr>
        <vertAlign val="subscript"/>
        <sz val="10"/>
        <rFont val="Symbol"/>
        <family val="1"/>
      </rPr>
      <t>1</t>
    </r>
  </si>
  <si>
    <r>
      <t>C</t>
    </r>
    <r>
      <rPr>
        <vertAlign val="subscript"/>
        <sz val="10"/>
        <rFont val="Arial"/>
        <family val="2"/>
      </rPr>
      <t>1</t>
    </r>
  </si>
  <si>
    <r>
      <t xml:space="preserve">Involute function of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:</t>
    </r>
  </si>
  <si>
    <r>
      <t xml:space="preserve">Involute function of </t>
    </r>
    <r>
      <rPr>
        <sz val="10"/>
        <rFont val="Symbol"/>
        <family val="1"/>
      </rPr>
      <t>f</t>
    </r>
    <r>
      <rPr>
        <vertAlign val="subscript"/>
        <sz val="10"/>
        <rFont val="Symbol"/>
        <family val="1"/>
      </rPr>
      <t>1</t>
    </r>
  </si>
  <si>
    <r>
      <t xml:space="preserve">inv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1</t>
    </r>
  </si>
  <si>
    <r>
      <t>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using solver:</t>
    </r>
  </si>
  <si>
    <r>
      <t xml:space="preserve">inv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enter value from E17 into solver</t>
    </r>
  </si>
  <si>
    <t>Close mesh center distance:</t>
  </si>
  <si>
    <r>
      <t>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.cos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/cos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2</t>
    </r>
  </si>
  <si>
    <t>Operating PCD:</t>
  </si>
  <si>
    <t>Pressure angle at mesh position:</t>
  </si>
  <si>
    <t>Transverse pressure angle (at std. Pcd):</t>
  </si>
  <si>
    <t>Auxilliary calculations:-</t>
  </si>
  <si>
    <r>
      <t>e=C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-(T+t)/2/P or </t>
    </r>
    <r>
      <rPr>
        <sz val="10"/>
        <rFont val="Symbol"/>
        <family val="1"/>
      </rPr>
      <t>S</t>
    </r>
    <r>
      <rPr>
        <sz val="10"/>
        <rFont val="Arial"/>
        <family val="2"/>
      </rPr>
      <t>k/P</t>
    </r>
    <r>
      <rPr>
        <vertAlign val="subscript"/>
        <sz val="10"/>
        <rFont val="Arial"/>
        <family val="2"/>
      </rPr>
      <t>n</t>
    </r>
  </si>
  <si>
    <t>Extension ratio:</t>
  </si>
  <si>
    <r>
      <t>Q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=2</t>
    </r>
    <r>
      <rPr>
        <sz val="10"/>
        <rFont val="Symbol"/>
        <family val="1"/>
      </rPr>
      <t>S</t>
    </r>
    <r>
      <rPr>
        <sz val="10"/>
        <rFont val="Arial"/>
        <family val="2"/>
      </rPr>
      <t>k.cos</t>
    </r>
    <r>
      <rPr>
        <vertAlign val="superscript"/>
        <sz val="10"/>
        <rFont val="Arial"/>
        <family val="2"/>
      </rPr>
      <t>3</t>
    </r>
    <r>
      <rPr>
        <sz val="10"/>
        <rFont val="Symbol"/>
        <family val="1"/>
      </rPr>
      <t>s</t>
    </r>
    <r>
      <rPr>
        <sz val="10"/>
        <rFont val="Arial"/>
        <family val="2"/>
      </rPr>
      <t>/</t>
    </r>
    <r>
      <rPr>
        <sz val="10"/>
        <rFont val="Symbol"/>
        <family val="1"/>
      </rPr>
      <t>S</t>
    </r>
    <r>
      <rPr>
        <sz val="10"/>
        <rFont val="Arial"/>
        <family val="2"/>
      </rPr>
      <t>T</t>
    </r>
  </si>
  <si>
    <t>4.33.5/7.19i</t>
  </si>
  <si>
    <t>Backlash coefficient:</t>
  </si>
  <si>
    <t>4.35.2</t>
  </si>
  <si>
    <t>Involute function of pressure angle of generation:</t>
  </si>
  <si>
    <t>4.34.1</t>
  </si>
  <si>
    <t>Involute function of extended pressure angle:</t>
  </si>
  <si>
    <r>
      <t>z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=e.Q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.k</t>
    </r>
    <r>
      <rPr>
        <vertAlign val="subscript"/>
        <sz val="10"/>
        <rFont val="Arial"/>
        <family val="2"/>
      </rPr>
      <t>z</t>
    </r>
  </si>
  <si>
    <t>7.19iv</t>
  </si>
  <si>
    <t>Generated backlash at nom., tooth th'k:</t>
  </si>
  <si>
    <t>4.35.1</t>
  </si>
  <si>
    <t>Tntt for zero b/l close mesh cd check:</t>
  </si>
  <si>
    <r>
      <t>g</t>
    </r>
    <r>
      <rPr>
        <vertAlign val="subscript"/>
        <sz val="10"/>
        <rFont val="Arial"/>
        <family val="2"/>
      </rPr>
      <t>nt(p,w)</t>
    </r>
    <r>
      <rPr>
        <sz val="10"/>
        <rFont val="Arial"/>
        <family val="2"/>
      </rPr>
      <t>=</t>
    </r>
    <r>
      <rPr>
        <sz val="10"/>
        <rFont val="Arial"/>
        <family val="0"/>
      </rPr>
      <t>g</t>
    </r>
    <r>
      <rPr>
        <vertAlign val="subscript"/>
        <sz val="10"/>
        <rFont val="Arial"/>
        <family val="2"/>
      </rPr>
      <t>n(p,w)</t>
    </r>
    <r>
      <rPr>
        <sz val="10"/>
        <rFont val="Arial"/>
        <family val="0"/>
      </rPr>
      <t>/cos</t>
    </r>
    <r>
      <rPr>
        <sz val="10"/>
        <rFont val="Symbol"/>
        <family val="1"/>
      </rPr>
      <t>s</t>
    </r>
  </si>
  <si>
    <r>
      <t>g</t>
    </r>
    <r>
      <rPr>
        <vertAlign val="subscript"/>
        <sz val="10"/>
        <rFont val="Arial"/>
        <family val="2"/>
      </rPr>
      <t>ntp</t>
    </r>
    <r>
      <rPr>
        <sz val="10"/>
        <rFont val="Arial"/>
        <family val="2"/>
      </rPr>
      <t xml:space="preserve"> or g</t>
    </r>
    <r>
      <rPr>
        <vertAlign val="subscript"/>
        <sz val="10"/>
        <rFont val="Arial"/>
        <family val="2"/>
      </rPr>
      <t>ntw</t>
    </r>
    <r>
      <rPr>
        <sz val="10"/>
        <rFont val="Arial"/>
        <family val="2"/>
      </rPr>
      <t xml:space="preserve"> + z</t>
    </r>
    <r>
      <rPr>
        <vertAlign val="subscript"/>
        <sz val="10"/>
        <rFont val="Arial"/>
        <family val="2"/>
      </rPr>
      <t>o</t>
    </r>
  </si>
  <si>
    <r>
      <t>inv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ne</t>
    </r>
    <r>
      <rPr>
        <sz val="10"/>
        <rFont val="Arial"/>
        <family val="2"/>
      </rPr>
      <t>=tan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ne</t>
    </r>
    <r>
      <rPr>
        <sz val="10"/>
        <rFont val="Arial"/>
        <family val="2"/>
      </rPr>
      <t>-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ne</t>
    </r>
  </si>
  <si>
    <r>
      <t>inv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=tan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-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n</t>
    </r>
  </si>
  <si>
    <r>
      <t>y</t>
    </r>
    <r>
      <rPr>
        <vertAlign val="subscript"/>
        <sz val="10"/>
        <rFont val="Arial"/>
        <family val="2"/>
      </rPr>
      <t>ne</t>
    </r>
    <r>
      <rPr>
        <sz val="10"/>
        <rFont val="Arial"/>
        <family val="2"/>
      </rPr>
      <t>=cos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[cos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/(1+Q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)]</t>
    </r>
  </si>
  <si>
    <r>
      <t>k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>=[2.cos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(inv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ne</t>
    </r>
    <r>
      <rPr>
        <sz val="10"/>
        <rFont val="Arial"/>
        <family val="2"/>
      </rPr>
      <t>-inv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)/Q</t>
    </r>
    <r>
      <rPr>
        <vertAlign val="subscript"/>
        <sz val="10"/>
        <rFont val="Arial"/>
        <family val="2"/>
      </rPr>
      <t>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-2.sin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/Q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]</t>
    </r>
  </si>
  <si>
    <r>
      <t xml:space="preserve">inv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=[{N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+T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)-2</t>
    </r>
    <r>
      <rPr>
        <sz val="10"/>
        <rFont val="Symbol"/>
        <family val="1"/>
      </rPr>
      <t>p</t>
    </r>
    <r>
      <rPr>
        <sz val="10"/>
        <rFont val="Arial"/>
        <family val="2"/>
      </rPr>
      <t>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}/2r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(N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+N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)]+inv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1</t>
    </r>
  </si>
  <si>
    <t>?</t>
  </si>
  <si>
    <r>
      <t>z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=(d+D)cos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(inv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te</t>
    </r>
    <r>
      <rPr>
        <sz val="10"/>
        <rFont val="Arial"/>
        <family val="2"/>
      </rPr>
      <t>-inv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)-2.e.sin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</t>
    </r>
  </si>
  <si>
    <t>Involute function of transverse PA:</t>
  </si>
  <si>
    <r>
      <t>inv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=tan</t>
    </r>
    <r>
      <rPr>
        <sz val="10"/>
        <rFont val="Symbol"/>
        <family val="1"/>
      </rPr>
      <t>y</t>
    </r>
    <r>
      <rPr>
        <sz val="10"/>
        <rFont val="Arial"/>
        <family val="2"/>
      </rPr>
      <t>-</t>
    </r>
    <r>
      <rPr>
        <sz val="10"/>
        <rFont val="Symbol"/>
        <family val="1"/>
      </rPr>
      <t>y</t>
    </r>
  </si>
  <si>
    <r>
      <t>inv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te</t>
    </r>
    <r>
      <rPr>
        <sz val="10"/>
        <rFont val="Arial"/>
        <family val="2"/>
      </rPr>
      <t>=tan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te</t>
    </r>
    <r>
      <rPr>
        <sz val="10"/>
        <rFont val="Arial"/>
        <family val="2"/>
      </rPr>
      <t>-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te</t>
    </r>
  </si>
  <si>
    <t>Involute function of extended transverse PA:</t>
  </si>
  <si>
    <t xml:space="preserve">HELICAL GEAR </t>
  </si>
  <si>
    <t>INVOLUTE CONTACT RATIO CALCULATION :</t>
  </si>
  <si>
    <t>HELICAL CONTACT RATIO CALCULATION :</t>
  </si>
  <si>
    <t>Axial contact ratio:</t>
  </si>
  <si>
    <r>
      <t>Q</t>
    </r>
    <r>
      <rPr>
        <vertAlign val="subscript"/>
        <sz val="10"/>
        <rFont val="Arial"/>
        <family val="2"/>
      </rPr>
      <t>ca</t>
    </r>
    <r>
      <rPr>
        <sz val="10"/>
        <rFont val="Arial"/>
        <family val="2"/>
      </rPr>
      <t xml:space="preserve"> = f.P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.sin</t>
    </r>
    <r>
      <rPr>
        <sz val="10"/>
        <rFont val="Symbol"/>
        <family val="1"/>
      </rPr>
      <t>s/p</t>
    </r>
  </si>
  <si>
    <t>Effective facewidth:</t>
  </si>
  <si>
    <t>f</t>
  </si>
  <si>
    <t>Axial pitch (ref)</t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</si>
  <si>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= 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/sin</t>
    </r>
    <r>
      <rPr>
        <sz val="10"/>
        <rFont val="Symbol"/>
        <family val="1"/>
      </rPr>
      <t>s</t>
    </r>
  </si>
  <si>
    <r>
      <t>p</t>
    </r>
    <r>
      <rPr>
        <sz val="10"/>
        <rFont val="Arial"/>
        <family val="0"/>
      </rPr>
      <t>=</t>
    </r>
    <r>
      <rPr>
        <sz val="10"/>
        <rFont val="Symbol"/>
        <family val="1"/>
      </rPr>
      <t>p</t>
    </r>
    <r>
      <rPr>
        <sz val="10"/>
        <rFont val="Arial"/>
        <family val="2"/>
      </rPr>
      <t>/P</t>
    </r>
    <r>
      <rPr>
        <vertAlign val="subscript"/>
        <sz val="10"/>
        <rFont val="Arial"/>
        <family val="2"/>
      </rPr>
      <t>n</t>
    </r>
  </si>
  <si>
    <t>TOTAL HELICAL CONTACT RATIO CALCULATION:</t>
  </si>
  <si>
    <t>Total contact ratio:</t>
  </si>
  <si>
    <r>
      <t>Q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Q</t>
    </r>
    <r>
      <rPr>
        <vertAlign val="subscript"/>
        <sz val="10"/>
        <rFont val="Arial"/>
        <family val="2"/>
      </rPr>
      <t>cte</t>
    </r>
    <r>
      <rPr>
        <sz val="10"/>
        <rFont val="Arial"/>
        <family val="2"/>
      </rPr>
      <t>+Q</t>
    </r>
    <r>
      <rPr>
        <vertAlign val="subscript"/>
        <sz val="10"/>
        <rFont val="Arial"/>
        <family val="2"/>
      </rPr>
      <t>ca</t>
    </r>
  </si>
  <si>
    <t>Target value</t>
  </si>
  <si>
    <t>Change value</t>
  </si>
  <si>
    <t>value' in solver</t>
  </si>
  <si>
    <t>REM</t>
  </si>
  <si>
    <r>
      <t>J</t>
    </r>
    <r>
      <rPr>
        <vertAlign val="superscript"/>
        <sz val="10"/>
        <rFont val="Arial"/>
        <family val="2"/>
      </rPr>
      <t>1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=[(</t>
    </r>
    <r>
      <rPr>
        <sz val="10"/>
        <rFont val="Symbol"/>
        <family val="1"/>
      </rPr>
      <t>p</t>
    </r>
    <r>
      <rPr>
        <sz val="10"/>
        <rFont val="Arial"/>
        <family val="2"/>
      </rPr>
      <t>/2-2ktan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)cos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]</t>
    </r>
  </si>
  <si>
    <t>Metrology (Inspection dimensions):-</t>
  </si>
  <si>
    <t>0.609/0.622</t>
  </si>
  <si>
    <t>0.47/0.48</t>
  </si>
  <si>
    <t>211a</t>
  </si>
  <si>
    <t>211b</t>
  </si>
  <si>
    <t>Meccano helical gears</t>
  </si>
  <si>
    <t>0.656?</t>
  </si>
  <si>
    <t>1.548?</t>
  </si>
  <si>
    <r>
      <t>B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=(1+c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-k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)/P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;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=(1+c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-k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)/P</t>
    </r>
    <r>
      <rPr>
        <vertAlign val="subscript"/>
        <sz val="10"/>
        <rFont val="Arial"/>
        <family val="2"/>
      </rPr>
      <t>n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</si>
</sst>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000"/>
    <numFmt numFmtId="174" formatCode="0.0000000"/>
    <numFmt numFmtId="175" formatCode="0.00000"/>
    <numFmt numFmtId="176" formatCode="0.000000000"/>
    <numFmt numFmtId="177" formatCode="0.00000000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sz val="8"/>
      <name val="Symbol"/>
      <family val="1"/>
    </font>
    <font>
      <b/>
      <u val="single"/>
      <sz val="10"/>
      <name val="Arial"/>
      <family val="2"/>
    </font>
    <font>
      <vertAlign val="subscript"/>
      <sz val="10"/>
      <name val="Symbol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3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173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wrapText="1"/>
    </xf>
    <xf numFmtId="0" fontId="2" fillId="35" borderId="0" xfId="0" applyFont="1" applyFill="1" applyAlignment="1">
      <alignment vertical="center"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176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173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17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/>
    </xf>
    <xf numFmtId="175" fontId="0" fillId="0" borderId="0" xfId="0" applyNumberFormat="1" applyBorder="1" applyAlignment="1">
      <alignment horizontal="center"/>
    </xf>
    <xf numFmtId="175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0" xfId="0" applyFont="1" applyFill="1" applyBorder="1" applyAlignment="1">
      <alignment horizontal="left"/>
    </xf>
    <xf numFmtId="0" fontId="0" fillId="35" borderId="0" xfId="0" applyFill="1" applyBorder="1" applyAlignment="1">
      <alignment horizontal="center"/>
    </xf>
    <xf numFmtId="173" fontId="0" fillId="35" borderId="14" xfId="0" applyNumberFormat="1" applyFill="1" applyBorder="1" applyAlignment="1">
      <alignment horizontal="center"/>
    </xf>
    <xf numFmtId="0" fontId="0" fillId="35" borderId="13" xfId="0" applyFill="1" applyBorder="1" applyAlignment="1">
      <alignment wrapText="1"/>
    </xf>
    <xf numFmtId="0" fontId="0" fillId="35" borderId="0" xfId="0" applyFill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0" fillId="35" borderId="0" xfId="0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73" fontId="0" fillId="0" borderId="14" xfId="0" applyNumberFormat="1" applyFill="1" applyBorder="1" applyAlignment="1">
      <alignment horizontal="center"/>
    </xf>
    <xf numFmtId="0" fontId="0" fillId="0" borderId="0" xfId="0" applyFill="1" applyAlignment="1">
      <alignment/>
    </xf>
    <xf numFmtId="174" fontId="0" fillId="0" borderId="0" xfId="0" applyNumberForma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0" fontId="0" fillId="33" borderId="0" xfId="0" applyFont="1" applyFill="1" applyAlignment="1">
      <alignment horizontal="center"/>
    </xf>
    <xf numFmtId="175" fontId="1" fillId="0" borderId="0" xfId="0" applyNumberFormat="1" applyFont="1" applyAlignment="1">
      <alignment horizontal="center" vertical="center"/>
    </xf>
    <xf numFmtId="175" fontId="7" fillId="0" borderId="0" xfId="0" applyNumberFormat="1" applyFont="1" applyAlignment="1">
      <alignment horizontal="center" vertical="center"/>
    </xf>
    <xf numFmtId="0" fontId="0" fillId="0" borderId="0" xfId="0" applyAlignment="1" quotePrefix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35" borderId="14" xfId="0" applyFill="1" applyBorder="1" applyAlignment="1">
      <alignment horizontal="center" vertical="center"/>
    </xf>
    <xf numFmtId="173" fontId="0" fillId="35" borderId="14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vertical="center"/>
    </xf>
    <xf numFmtId="0" fontId="0" fillId="35" borderId="14" xfId="0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Alignment="1">
      <alignment horizontal="center"/>
    </xf>
    <xf numFmtId="173" fontId="0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35" borderId="0" xfId="0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4</xdr:row>
      <xdr:rowOff>123825</xdr:rowOff>
    </xdr:from>
    <xdr:to>
      <xdr:col>0</xdr:col>
      <xdr:colOff>1390650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762000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11"/>
  <sheetViews>
    <sheetView tabSelected="1" zoomScalePageLayoutView="0" workbookViewId="0" topLeftCell="A21">
      <selection activeCell="H26" sqref="H26"/>
    </sheetView>
  </sheetViews>
  <sheetFormatPr defaultColWidth="9.140625" defaultRowHeight="12.75"/>
  <cols>
    <col min="1" max="1" width="37.00390625" style="0" customWidth="1"/>
    <col min="2" max="2" width="39.00390625" style="0" customWidth="1"/>
    <col min="3" max="3" width="6.140625" style="15" bestFit="1" customWidth="1"/>
    <col min="4" max="4" width="10.7109375" style="3" customWidth="1"/>
    <col min="5" max="5" width="13.00390625" style="3" customWidth="1"/>
    <col min="6" max="6" width="10.8515625" style="3" customWidth="1"/>
    <col min="7" max="7" width="9.57421875" style="0" bestFit="1" customWidth="1"/>
  </cols>
  <sheetData>
    <row r="1" ht="12.75">
      <c r="A1" s="1" t="s">
        <v>35</v>
      </c>
    </row>
    <row r="3" spans="1:7" ht="12">
      <c r="A3" t="s">
        <v>30</v>
      </c>
      <c r="G3" s="18" t="s">
        <v>31</v>
      </c>
    </row>
    <row r="5" ht="12.75">
      <c r="A5" t="s">
        <v>0</v>
      </c>
    </row>
    <row r="6" ht="12.75"/>
    <row r="7" spans="1:5" ht="15">
      <c r="A7" t="s">
        <v>1</v>
      </c>
      <c r="B7" t="s">
        <v>32</v>
      </c>
      <c r="E7" s="3">
        <v>20</v>
      </c>
    </row>
    <row r="8" spans="2:5" ht="15">
      <c r="B8" t="s">
        <v>33</v>
      </c>
      <c r="E8" s="3">
        <v>35</v>
      </c>
    </row>
    <row r="9" spans="2:5" ht="12">
      <c r="B9" t="s">
        <v>34</v>
      </c>
      <c r="E9" s="3">
        <v>45</v>
      </c>
    </row>
    <row r="11" spans="1:4" ht="12">
      <c r="A11" t="s">
        <v>53</v>
      </c>
      <c r="D11" s="3" t="s">
        <v>16</v>
      </c>
    </row>
    <row r="12" ht="12">
      <c r="D12" s="3" t="s">
        <v>17</v>
      </c>
    </row>
    <row r="14" spans="2:7" ht="12.75">
      <c r="B14" s="4" t="s">
        <v>19</v>
      </c>
      <c r="C14" s="4" t="s">
        <v>29</v>
      </c>
      <c r="D14" s="4" t="s">
        <v>12</v>
      </c>
      <c r="E14" s="4" t="s">
        <v>18</v>
      </c>
      <c r="F14" s="4" t="s">
        <v>86</v>
      </c>
      <c r="G14" s="24" t="s">
        <v>221</v>
      </c>
    </row>
    <row r="15" spans="1:6" ht="12.75">
      <c r="A15" s="1" t="s">
        <v>2</v>
      </c>
      <c r="B15" s="40" t="s">
        <v>228</v>
      </c>
      <c r="D15" s="18" t="s">
        <v>226</v>
      </c>
      <c r="F15" s="101" t="s">
        <v>227</v>
      </c>
    </row>
    <row r="16" spans="1:6" ht="12">
      <c r="A16" t="s">
        <v>11</v>
      </c>
      <c r="B16" t="s">
        <v>24</v>
      </c>
      <c r="D16" s="18">
        <v>14</v>
      </c>
      <c r="F16" s="18">
        <v>35</v>
      </c>
    </row>
    <row r="17" spans="1:6" ht="12">
      <c r="A17" t="s">
        <v>36</v>
      </c>
      <c r="B17" t="s">
        <v>37</v>
      </c>
      <c r="D17" s="18" t="s">
        <v>93</v>
      </c>
      <c r="F17" s="18" t="s">
        <v>93</v>
      </c>
    </row>
    <row r="18" spans="1:7" ht="15">
      <c r="A18" t="s">
        <v>5</v>
      </c>
      <c r="B18" t="s">
        <v>38</v>
      </c>
      <c r="C18" s="15" t="s">
        <v>40</v>
      </c>
      <c r="D18" s="3">
        <f>D16/E8/COS(E9*PI()/180)</f>
        <v>0.565685424949238</v>
      </c>
      <c r="E18" s="6"/>
      <c r="F18" s="6">
        <f>F16/E8/COS(E9*PI()/180)</f>
        <v>1.414213562373095</v>
      </c>
      <c r="G18" s="39">
        <f>D18+F18</f>
        <v>1.979898987322333</v>
      </c>
    </row>
    <row r="19" spans="1:5" ht="15">
      <c r="A19" t="s">
        <v>3</v>
      </c>
      <c r="B19" t="s">
        <v>82</v>
      </c>
      <c r="C19" s="15" t="s">
        <v>39</v>
      </c>
      <c r="E19" s="6">
        <f>(D16+F16)/COS(E9*PI()/180)/2/E8</f>
        <v>0.9899494936611664</v>
      </c>
    </row>
    <row r="20" spans="1:5" ht="15">
      <c r="A20" t="s">
        <v>14</v>
      </c>
      <c r="B20" t="s">
        <v>22</v>
      </c>
      <c r="E20" s="18">
        <v>1</v>
      </c>
    </row>
    <row r="21" spans="1:7" ht="15">
      <c r="A21" t="s">
        <v>174</v>
      </c>
      <c r="B21" t="s">
        <v>28</v>
      </c>
      <c r="D21" s="3">
        <f>2*D16*E20/(D16+F16)</f>
        <v>0.5714285714285714</v>
      </c>
      <c r="F21" s="3">
        <f>2*F16*E20/(D16+F16)</f>
        <v>1.4285714285714286</v>
      </c>
      <c r="G21">
        <f>D21+F21</f>
        <v>2</v>
      </c>
    </row>
    <row r="22" spans="1:5" ht="15">
      <c r="A22" t="s">
        <v>4</v>
      </c>
      <c r="B22" t="s">
        <v>178</v>
      </c>
      <c r="C22" s="15">
        <v>7.19</v>
      </c>
      <c r="E22" s="86">
        <f>E20-E19</f>
        <v>0.010050506338833642</v>
      </c>
    </row>
    <row r="23" spans="1:6" ht="15">
      <c r="A23" t="s">
        <v>20</v>
      </c>
      <c r="B23" s="5" t="s">
        <v>44</v>
      </c>
      <c r="C23" s="16"/>
      <c r="E23" s="86">
        <f>E20*E8-(D16+F16)/COS(E9*PI()/180)/2</f>
        <v>0.3517677218591757</v>
      </c>
      <c r="F23" s="6"/>
    </row>
    <row r="24" spans="1:6" ht="15">
      <c r="A24" t="s">
        <v>6</v>
      </c>
      <c r="B24" t="s">
        <v>25</v>
      </c>
      <c r="C24" s="15">
        <v>6.4</v>
      </c>
      <c r="D24" s="20">
        <v>0</v>
      </c>
      <c r="F24" s="20">
        <v>0.3518</v>
      </c>
    </row>
    <row r="25" spans="1:6" ht="12">
      <c r="A25" t="s">
        <v>146</v>
      </c>
      <c r="B25" s="5" t="s">
        <v>149</v>
      </c>
      <c r="C25" s="15">
        <v>6.6</v>
      </c>
      <c r="D25" s="20">
        <v>0</v>
      </c>
      <c r="F25" s="20">
        <v>0</v>
      </c>
    </row>
    <row r="26" spans="1:6" ht="15">
      <c r="A26" t="s">
        <v>23</v>
      </c>
      <c r="B26" t="s">
        <v>147</v>
      </c>
      <c r="C26" s="15" t="s">
        <v>41</v>
      </c>
      <c r="D26" s="3">
        <f>(1+D24)/E8-D25</f>
        <v>0.02857142857142857</v>
      </c>
      <c r="F26" s="6">
        <f>(1+F24)/E8-F25</f>
        <v>0.03862285714285714</v>
      </c>
    </row>
    <row r="27" spans="1:6" ht="14.25">
      <c r="A27" t="s">
        <v>13</v>
      </c>
      <c r="B27" t="s">
        <v>21</v>
      </c>
      <c r="C27" s="15">
        <v>7.3</v>
      </c>
      <c r="E27" s="18">
        <v>0.4</v>
      </c>
      <c r="F27" s="6"/>
    </row>
    <row r="28" spans="1:6" ht="15.75">
      <c r="A28" t="s">
        <v>7</v>
      </c>
      <c r="B28" s="2" t="s">
        <v>231</v>
      </c>
      <c r="C28" s="17"/>
      <c r="D28" s="3">
        <f>(1+E27-D24)/E8</f>
        <v>0.04</v>
      </c>
      <c r="F28" s="6">
        <f>(1+E27-F24)/E8</f>
        <v>0.02994857142857143</v>
      </c>
    </row>
    <row r="29" spans="1:6" ht="12">
      <c r="A29" t="s">
        <v>8</v>
      </c>
      <c r="B29" t="s">
        <v>15</v>
      </c>
      <c r="D29" s="3">
        <f>D26+D28</f>
        <v>0.06857142857142857</v>
      </c>
      <c r="F29" s="6">
        <f>F26+F28</f>
        <v>0.06857142857142856</v>
      </c>
    </row>
    <row r="30" spans="1:7" ht="15">
      <c r="A30" t="s">
        <v>9</v>
      </c>
      <c r="B30" t="s">
        <v>148</v>
      </c>
      <c r="C30" s="15" t="s">
        <v>42</v>
      </c>
      <c r="D30" s="3">
        <f>D18+2*D26</f>
        <v>0.6228282820920952</v>
      </c>
      <c r="E30" s="93" t="s">
        <v>224</v>
      </c>
      <c r="F30" s="6">
        <f>F18+2*F26</f>
        <v>1.4914592766588093</v>
      </c>
      <c r="G30" s="94">
        <v>1.494</v>
      </c>
    </row>
    <row r="31" spans="1:7" ht="15">
      <c r="A31" t="s">
        <v>10</v>
      </c>
      <c r="B31" t="s">
        <v>27</v>
      </c>
      <c r="C31" s="15" t="s">
        <v>43</v>
      </c>
      <c r="D31" s="3">
        <f>D18-2*D28</f>
        <v>0.485685424949238</v>
      </c>
      <c r="E31" s="93" t="s">
        <v>225</v>
      </c>
      <c r="F31" s="6">
        <f>F18-2*F28</f>
        <v>1.354316419515952</v>
      </c>
      <c r="G31" s="94">
        <v>1.37</v>
      </c>
    </row>
    <row r="32" ht="12.75" thickBot="1">
      <c r="F32" s="6"/>
    </row>
    <row r="33" spans="1:6" ht="12.75">
      <c r="A33" s="43" t="s">
        <v>177</v>
      </c>
      <c r="B33" s="44"/>
      <c r="C33" s="45"/>
      <c r="D33" s="46"/>
      <c r="E33" s="46"/>
      <c r="F33" s="47"/>
    </row>
    <row r="34" spans="1:6" ht="15">
      <c r="A34" s="48" t="s">
        <v>158</v>
      </c>
      <c r="B34" s="49" t="s">
        <v>162</v>
      </c>
      <c r="C34" s="50"/>
      <c r="D34" s="51">
        <f>(PI()/2+2*D24*TAN(E7*PI()/180))/E8</f>
        <v>0.04487989505128276</v>
      </c>
      <c r="E34" s="52"/>
      <c r="F34" s="53">
        <f>(PI()/2+2*F24*TAN(E7*PI()/180))/E8</f>
        <v>0.052196736674988475</v>
      </c>
    </row>
    <row r="35" spans="1:7" ht="15">
      <c r="A35" s="48" t="s">
        <v>159</v>
      </c>
      <c r="B35" s="49" t="s">
        <v>192</v>
      </c>
      <c r="C35" s="50"/>
      <c r="D35" s="52">
        <f>D34/COS(E9*PI()/180)</f>
        <v>0.06346975625940522</v>
      </c>
      <c r="E35" s="52"/>
      <c r="F35" s="53">
        <f>F34/COS(E9*PI()/180)</f>
        <v>0.07381733291738583</v>
      </c>
      <c r="G35" s="39"/>
    </row>
    <row r="36" spans="1:6" ht="15">
      <c r="A36" s="48" t="s">
        <v>191</v>
      </c>
      <c r="B36" s="49" t="s">
        <v>193</v>
      </c>
      <c r="C36" s="50"/>
      <c r="D36" s="52">
        <f>D34/COS(E9*PI()/180)</f>
        <v>0.06346975625940522</v>
      </c>
      <c r="E36" s="52"/>
      <c r="F36" s="53">
        <f>F35+E49</f>
        <v>0.0739896774887471</v>
      </c>
    </row>
    <row r="37" spans="1:6" ht="15.75">
      <c r="A37" s="65" t="s">
        <v>179</v>
      </c>
      <c r="B37" s="66" t="s">
        <v>180</v>
      </c>
      <c r="C37" s="67" t="s">
        <v>181</v>
      </c>
      <c r="D37" s="68"/>
      <c r="E37" s="68">
        <f>2*(D24+F24)*(COS(E9*PI()/180))^3/(D16+F16)</f>
        <v>0.005076738073906683</v>
      </c>
      <c r="F37" s="69"/>
    </row>
    <row r="38" spans="1:6" ht="24.75">
      <c r="A38" s="70" t="s">
        <v>184</v>
      </c>
      <c r="B38" s="71" t="s">
        <v>195</v>
      </c>
      <c r="C38" s="72">
        <v>4.3</v>
      </c>
      <c r="D38" s="73"/>
      <c r="E38" s="73">
        <f>TAN(E7*PI()/180)-E7*PI()/180</f>
        <v>0.014904383867336446</v>
      </c>
      <c r="F38" s="95"/>
    </row>
    <row r="39" spans="1:6" ht="15">
      <c r="A39" s="70" t="s">
        <v>144</v>
      </c>
      <c r="B39" s="74" t="s">
        <v>196</v>
      </c>
      <c r="C39" s="72" t="s">
        <v>185</v>
      </c>
      <c r="D39" s="73"/>
      <c r="E39" s="73">
        <f>ACOS(COS(E7*PI()/180)/(1+E37))*180/PI()</f>
        <v>20.780554095891922</v>
      </c>
      <c r="F39" s="96"/>
    </row>
    <row r="40" spans="1:6" ht="15">
      <c r="A40" s="70" t="s">
        <v>186</v>
      </c>
      <c r="B40" s="75" t="s">
        <v>194</v>
      </c>
      <c r="C40" s="76"/>
      <c r="D40" s="71"/>
      <c r="E40" s="71">
        <f>TAN(E39*PI()/180)-E39*PI()/180</f>
        <v>0.016786957457860963</v>
      </c>
      <c r="F40" s="97"/>
    </row>
    <row r="41" spans="1:6" ht="15.75">
      <c r="A41" s="65" t="s">
        <v>182</v>
      </c>
      <c r="B41" s="66" t="s">
        <v>197</v>
      </c>
      <c r="C41" s="67" t="s">
        <v>183</v>
      </c>
      <c r="D41" s="68"/>
      <c r="E41" s="68">
        <f>(2*COS(E7*PI()/180)*(E40-E38)/E37^2-2*SIN(E7*PI()/180)/E37)</f>
        <v>2.537033764738055</v>
      </c>
      <c r="F41" s="98"/>
    </row>
    <row r="42" spans="1:6" ht="15">
      <c r="A42" s="65" t="s">
        <v>189</v>
      </c>
      <c r="B42" s="66" t="s">
        <v>187</v>
      </c>
      <c r="C42" s="67" t="s">
        <v>188</v>
      </c>
      <c r="D42" s="68"/>
      <c r="E42" s="68">
        <f>E22*E37*E41</f>
        <v>0.00012944907344895461</v>
      </c>
      <c r="F42" s="69"/>
    </row>
    <row r="43" spans="1:6" ht="12">
      <c r="A43" s="65"/>
      <c r="B43" s="66"/>
      <c r="C43" s="67"/>
      <c r="D43" s="68"/>
      <c r="E43" s="68"/>
      <c r="F43" s="69"/>
    </row>
    <row r="44" spans="1:6" ht="15">
      <c r="A44" s="48" t="s">
        <v>176</v>
      </c>
      <c r="B44" s="56" t="s">
        <v>45</v>
      </c>
      <c r="C44" s="50" t="s">
        <v>46</v>
      </c>
      <c r="D44" s="57">
        <f>ATAN(TAN(E7*PI()/180)/COS(E9*PI()/180))*180/PI()</f>
        <v>27.236313475170725</v>
      </c>
      <c r="E44" s="54">
        <f>ATAN(TAN(E7*PI()/180)/COS(E9*PI()/180))*180/PI()</f>
        <v>27.236313475170725</v>
      </c>
      <c r="F44" s="58">
        <f>ATAN(TAN(E7*PI()/180)/COS(E9*PI()/180))*180/PI()</f>
        <v>27.236313475170725</v>
      </c>
    </row>
    <row r="45" spans="1:6" s="84" customFormat="1" ht="15">
      <c r="A45" s="79" t="s">
        <v>201</v>
      </c>
      <c r="B45" s="80" t="s">
        <v>202</v>
      </c>
      <c r="C45" s="81"/>
      <c r="D45" s="82"/>
      <c r="E45" s="82">
        <f>TAN(E44*PI()/180)-E44*PI()/180</f>
        <v>0.03936829535234798</v>
      </c>
      <c r="F45" s="83"/>
    </row>
    <row r="46" spans="1:6" s="84" customFormat="1" ht="15.75">
      <c r="A46" s="48" t="s">
        <v>122</v>
      </c>
      <c r="B46" s="56" t="s">
        <v>123</v>
      </c>
      <c r="C46" s="99" t="s">
        <v>124</v>
      </c>
      <c r="D46" s="82"/>
      <c r="E46" s="82">
        <f>ACOS(E19*COS(E44*PI()/180)/E20)*180/PI()</f>
        <v>28.334669950785518</v>
      </c>
      <c r="F46" s="83"/>
    </row>
    <row r="47" spans="1:6" s="84" customFormat="1" ht="15">
      <c r="A47" s="48" t="s">
        <v>204</v>
      </c>
      <c r="B47" s="100" t="s">
        <v>203</v>
      </c>
      <c r="C47" s="99"/>
      <c r="D47" s="82"/>
      <c r="E47" s="85">
        <f>TAN(E46*PI()/180)-E46*PI()/180</f>
        <v>0.04469203315460141</v>
      </c>
      <c r="F47" s="83"/>
    </row>
    <row r="48" spans="1:6" s="84" customFormat="1" ht="12">
      <c r="A48" s="48"/>
      <c r="B48" s="56"/>
      <c r="C48" s="99"/>
      <c r="D48" s="82"/>
      <c r="E48" s="82"/>
      <c r="F48" s="83"/>
    </row>
    <row r="49" spans="1:6" ht="15">
      <c r="A49" s="48" t="s">
        <v>189</v>
      </c>
      <c r="B49" s="49" t="s">
        <v>200</v>
      </c>
      <c r="C49" s="50" t="s">
        <v>190</v>
      </c>
      <c r="D49" s="52"/>
      <c r="E49" s="51">
        <f>(D18+F18)*COS(E44*PI()/180)*(E47-E45)-2*E22*SIN(E44*PI()/180)</f>
        <v>0.00017234457136127562</v>
      </c>
      <c r="F49" s="55"/>
    </row>
    <row r="50" spans="1:6" ht="12">
      <c r="A50" s="48"/>
      <c r="B50" s="49"/>
      <c r="C50" s="50"/>
      <c r="D50" s="52"/>
      <c r="E50" s="54"/>
      <c r="F50" s="55"/>
    </row>
    <row r="51" spans="1:6" ht="15.75" thickBot="1">
      <c r="A51" s="59" t="s">
        <v>47</v>
      </c>
      <c r="B51" s="60" t="s">
        <v>48</v>
      </c>
      <c r="C51" s="61" t="s">
        <v>49</v>
      </c>
      <c r="D51" s="62">
        <f>D18*COS(D44*PI()/180)</f>
        <v>0.5029658967342986</v>
      </c>
      <c r="E51" s="63"/>
      <c r="F51" s="64">
        <f>F18*COS(F44*PI()/180)</f>
        <v>1.2574147418357464</v>
      </c>
    </row>
    <row r="52" spans="1:6" ht="12">
      <c r="A52" s="49"/>
      <c r="B52" s="49"/>
      <c r="C52" s="50"/>
      <c r="D52" s="52"/>
      <c r="E52" s="54"/>
      <c r="F52" s="54"/>
    </row>
    <row r="53" spans="1:6" ht="15">
      <c r="A53" t="s">
        <v>50</v>
      </c>
      <c r="B53" t="s">
        <v>51</v>
      </c>
      <c r="C53" s="15" t="s">
        <v>52</v>
      </c>
      <c r="D53" s="21">
        <v>0.004</v>
      </c>
      <c r="F53" s="21">
        <v>0.004</v>
      </c>
    </row>
    <row r="54" spans="1:6" ht="15">
      <c r="A54" t="s">
        <v>26</v>
      </c>
      <c r="B54" t="s">
        <v>94</v>
      </c>
      <c r="C54" s="15">
        <v>6.28</v>
      </c>
      <c r="D54" s="21">
        <v>0.001</v>
      </c>
      <c r="F54" s="21">
        <v>0.001</v>
      </c>
    </row>
    <row r="56" ht="12.75">
      <c r="A56" s="1" t="s">
        <v>54</v>
      </c>
    </row>
    <row r="57" spans="1:6" ht="15.75">
      <c r="A57" t="s">
        <v>56</v>
      </c>
      <c r="B57" t="s">
        <v>222</v>
      </c>
      <c r="C57" s="15" t="s">
        <v>55</v>
      </c>
      <c r="D57" s="3">
        <f>((PI()/2-2*D24*TAN(E7*PI()/180))*COS(E7*PI()/180))</f>
        <v>1.4760657170467746</v>
      </c>
      <c r="F57" s="3">
        <f>((PI()/2-2*F24*TAN(E7*PI()/180))*COS(E7*PI()/180))</f>
        <v>1.235420344202834</v>
      </c>
    </row>
    <row r="58" spans="1:6" ht="15.75">
      <c r="A58" t="s">
        <v>57</v>
      </c>
      <c r="B58" t="s">
        <v>58</v>
      </c>
      <c r="C58" s="15" t="s">
        <v>66</v>
      </c>
      <c r="D58" s="6">
        <f>D57/E8</f>
        <v>0.042173306201336414</v>
      </c>
      <c r="F58" s="6">
        <f>F57/E8</f>
        <v>0.03529772412008097</v>
      </c>
    </row>
    <row r="59" spans="1:6" ht="15">
      <c r="A59" t="s">
        <v>59</v>
      </c>
      <c r="B59" t="s">
        <v>60</v>
      </c>
      <c r="C59" s="15">
        <v>4.14</v>
      </c>
      <c r="D59" s="6">
        <v>0.0625</v>
      </c>
      <c r="F59" s="6">
        <v>0.0625</v>
      </c>
    </row>
    <row r="60" spans="1:6" ht="15">
      <c r="A60" t="s">
        <v>61</v>
      </c>
      <c r="B60" s="5" t="s">
        <v>65</v>
      </c>
      <c r="D60" s="6">
        <f>D59-D58</f>
        <v>0.020326693798663586</v>
      </c>
      <c r="F60" s="6">
        <f>F59-F58</f>
        <v>0.02720227587991903</v>
      </c>
    </row>
    <row r="61" spans="1:6" ht="15">
      <c r="A61" t="s">
        <v>62</v>
      </c>
      <c r="B61" s="2" t="s">
        <v>64</v>
      </c>
      <c r="C61" s="15" t="s">
        <v>63</v>
      </c>
      <c r="D61" s="6">
        <f>D16*COS(E7*PI()/180)/E8</f>
        <v>0.37587704831436336</v>
      </c>
      <c r="F61" s="6">
        <f>F16*COS(E7*PI()/180)/E8</f>
        <v>0.9396926207859083</v>
      </c>
    </row>
    <row r="62" spans="1:6" ht="15">
      <c r="A62" t="s">
        <v>67</v>
      </c>
      <c r="B62" s="5" t="s">
        <v>87</v>
      </c>
      <c r="D62" s="6">
        <f>D60/D61</f>
        <v>0.05407803932115438</v>
      </c>
      <c r="F62" s="6">
        <f>F60/F61</f>
        <v>0.02894805735216747</v>
      </c>
    </row>
    <row r="63" spans="1:6" ht="15">
      <c r="A63" t="s">
        <v>68</v>
      </c>
      <c r="B63" t="s">
        <v>69</v>
      </c>
      <c r="D63" s="6">
        <f>TAN(D44*PI()/180)-D44*PI()/180</f>
        <v>0.03936829535234798</v>
      </c>
      <c r="F63" s="6">
        <f>TAN(F44*PI()/180)-F44*PI()/180</f>
        <v>0.03936829535234798</v>
      </c>
    </row>
    <row r="64" spans="1:6" ht="15.75">
      <c r="A64" t="s">
        <v>70</v>
      </c>
      <c r="B64" t="s">
        <v>88</v>
      </c>
      <c r="C64" s="15" t="s">
        <v>84</v>
      </c>
      <c r="D64" s="6">
        <f>D63+D62</f>
        <v>0.09344633467350236</v>
      </c>
      <c r="E64" s="92" t="s">
        <v>220</v>
      </c>
      <c r="F64" s="6">
        <f>F63+F62</f>
        <v>0.06831635270451546</v>
      </c>
    </row>
    <row r="65" spans="2:6" ht="15.75">
      <c r="B65" t="s">
        <v>71</v>
      </c>
      <c r="D65" s="6">
        <f>TAN(D66*PI()/180)-D66*PI()/180</f>
        <v>0.093445728675985</v>
      </c>
      <c r="E65" s="3" t="s">
        <v>218</v>
      </c>
      <c r="F65" s="6">
        <f>TAN(F66*PI()/180)-F66*PI()/180</f>
        <v>0.06831623303553724</v>
      </c>
    </row>
    <row r="66" spans="1:6" ht="15.75">
      <c r="A66" t="s">
        <v>72</v>
      </c>
      <c r="B66" s="5" t="s">
        <v>73</v>
      </c>
      <c r="D66" s="6">
        <v>35.471202</v>
      </c>
      <c r="E66" s="3" t="s">
        <v>219</v>
      </c>
      <c r="F66" s="6">
        <v>32.2833334</v>
      </c>
    </row>
    <row r="67" spans="1:6" ht="15.75">
      <c r="A67" t="s">
        <v>75</v>
      </c>
      <c r="B67" t="s">
        <v>74</v>
      </c>
      <c r="C67" s="15" t="s">
        <v>83</v>
      </c>
      <c r="D67" s="6">
        <f>1/SIN(D66*PI()/180)/2</f>
        <v>0.8616326648891108</v>
      </c>
      <c r="F67" s="6">
        <f>1/SIN(F66*PI()/180)/2</f>
        <v>0.9361429711234024</v>
      </c>
    </row>
    <row r="68" spans="1:6" ht="15.75">
      <c r="A68" t="s">
        <v>76</v>
      </c>
      <c r="B68" s="2" t="s">
        <v>90</v>
      </c>
      <c r="C68" s="15" t="s">
        <v>85</v>
      </c>
      <c r="D68" s="6">
        <f>D67*D51/D61</f>
        <v>1.1529617141961435</v>
      </c>
      <c r="F68" s="6">
        <f>F67*F51/F61</f>
        <v>1.252664910119228</v>
      </c>
    </row>
    <row r="69" spans="1:6" ht="15.75">
      <c r="A69" t="s">
        <v>78</v>
      </c>
      <c r="B69" s="5" t="s">
        <v>91</v>
      </c>
      <c r="D69" s="6">
        <f>2*D68*D53</f>
        <v>0.009223693713569148</v>
      </c>
      <c r="F69" s="6">
        <f>2*F68*F53</f>
        <v>0.010021319280953823</v>
      </c>
    </row>
    <row r="70" spans="1:6" ht="15.75">
      <c r="A70" t="s">
        <v>77</v>
      </c>
      <c r="B70" s="5" t="s">
        <v>92</v>
      </c>
      <c r="D70" s="6">
        <f>2*D68*D54</f>
        <v>0.002305923428392287</v>
      </c>
      <c r="F70" s="6">
        <f>2*F68*F54</f>
        <v>0.002505329820238456</v>
      </c>
    </row>
    <row r="71" spans="1:6" ht="15.75">
      <c r="A71" t="s">
        <v>79</v>
      </c>
      <c r="B71" t="s">
        <v>89</v>
      </c>
      <c r="D71" s="6">
        <f>D51/COS(D66*PI()/180)</f>
        <v>0.6175852106301213</v>
      </c>
      <c r="F71" s="6">
        <f>F51/COS(F66*PI()/180)</f>
        <v>1.4873303876594752</v>
      </c>
    </row>
    <row r="72" spans="4:6" ht="12">
      <c r="D72" s="6"/>
      <c r="F72" s="6"/>
    </row>
    <row r="73" spans="1:6" ht="12.75">
      <c r="A73" s="1" t="s">
        <v>223</v>
      </c>
      <c r="D73" s="6"/>
      <c r="F73" s="6"/>
    </row>
    <row r="74" spans="1:7" ht="15">
      <c r="A74" s="1" t="s">
        <v>80</v>
      </c>
      <c r="B74" s="2" t="s">
        <v>101</v>
      </c>
      <c r="D74" s="42">
        <f>IF(D16/2=INT(D16/2),D71-D69+D59,D71*COS(90/D16*PI()/180)-D69+D59)</f>
        <v>0.6708615169165522</v>
      </c>
      <c r="E74" s="102">
        <f>(D74+D75)/2</f>
        <v>0.6697085552023561</v>
      </c>
      <c r="F74" s="42">
        <f>IF(F16/2=INT(F16/2),F71-F69+F59,F71*COS(90/F16*PI()/180)-F69+F59)</f>
        <v>1.5383114256470678</v>
      </c>
      <c r="G74" s="103">
        <f>(F74+F75)/2</f>
        <v>1.5370587607369486</v>
      </c>
    </row>
    <row r="75" spans="1:7" ht="15">
      <c r="A75" s="1" t="s">
        <v>81</v>
      </c>
      <c r="B75" s="2" t="s">
        <v>102</v>
      </c>
      <c r="D75" s="42">
        <f>D74-D70</f>
        <v>0.6685555934881598</v>
      </c>
      <c r="E75" s="102"/>
      <c r="F75" s="42">
        <f>F74-F70</f>
        <v>1.5358060958268294</v>
      </c>
      <c r="G75" s="103"/>
    </row>
    <row r="76" spans="4:6" ht="12.75">
      <c r="D76" s="93" t="s">
        <v>229</v>
      </c>
      <c r="E76" s="41"/>
      <c r="F76" s="93" t="s">
        <v>230</v>
      </c>
    </row>
    <row r="77" spans="3:6" ht="12">
      <c r="C77"/>
      <c r="D77"/>
      <c r="E77"/>
      <c r="F77"/>
    </row>
    <row r="78" spans="3:6" ht="12">
      <c r="C78"/>
      <c r="D78"/>
      <c r="E78"/>
      <c r="F78"/>
    </row>
    <row r="79" spans="3:6" ht="12">
      <c r="C79"/>
      <c r="D79"/>
      <c r="E79"/>
      <c r="F79"/>
    </row>
    <row r="80" spans="3:6" ht="12">
      <c r="C80"/>
      <c r="D80"/>
      <c r="E80"/>
      <c r="F80"/>
    </row>
    <row r="81" spans="3:6" ht="12">
      <c r="C81"/>
      <c r="D81"/>
      <c r="E81"/>
      <c r="F81"/>
    </row>
    <row r="82" spans="3:6" ht="12">
      <c r="C82"/>
      <c r="D82"/>
      <c r="E82"/>
      <c r="F82"/>
    </row>
    <row r="83" spans="3:6" ht="12">
      <c r="C83"/>
      <c r="D83"/>
      <c r="E83"/>
      <c r="F83"/>
    </row>
    <row r="84" spans="3:6" ht="12">
      <c r="C84"/>
      <c r="D84"/>
      <c r="E84"/>
      <c r="F84"/>
    </row>
    <row r="85" spans="3:6" ht="12">
      <c r="C85"/>
      <c r="D85"/>
      <c r="E85"/>
      <c r="F85"/>
    </row>
    <row r="86" spans="3:6" ht="12">
      <c r="C86"/>
      <c r="D86"/>
      <c r="E86"/>
      <c r="F86"/>
    </row>
    <row r="87" spans="3:6" ht="12">
      <c r="C87"/>
      <c r="D87"/>
      <c r="E87"/>
      <c r="F87"/>
    </row>
    <row r="88" spans="3:6" ht="12">
      <c r="C88"/>
      <c r="D88"/>
      <c r="E88"/>
      <c r="F88"/>
    </row>
    <row r="89" spans="3:6" ht="12">
      <c r="C89"/>
      <c r="D89"/>
      <c r="E89"/>
      <c r="F89"/>
    </row>
    <row r="90" spans="3:6" ht="12">
      <c r="C90"/>
      <c r="D90"/>
      <c r="E90"/>
      <c r="F90"/>
    </row>
    <row r="91" spans="3:6" ht="12">
      <c r="C91"/>
      <c r="D91"/>
      <c r="E91"/>
      <c r="F91"/>
    </row>
    <row r="92" spans="3:6" ht="27" customHeight="1">
      <c r="C92"/>
      <c r="D92"/>
      <c r="E92"/>
      <c r="F92"/>
    </row>
    <row r="93" spans="3:6" ht="12">
      <c r="C93"/>
      <c r="D93"/>
      <c r="E93"/>
      <c r="F93"/>
    </row>
    <row r="94" spans="3:6" ht="12">
      <c r="C94"/>
      <c r="D94"/>
      <c r="E94"/>
      <c r="F94"/>
    </row>
    <row r="95" spans="3:6" ht="12">
      <c r="C95"/>
      <c r="D95"/>
      <c r="E95"/>
      <c r="F95"/>
    </row>
    <row r="96" spans="3:6" ht="12">
      <c r="C96"/>
      <c r="D96"/>
      <c r="E96"/>
      <c r="F96"/>
    </row>
    <row r="97" spans="3:6" ht="12">
      <c r="C97"/>
      <c r="D97"/>
      <c r="E97"/>
      <c r="F97"/>
    </row>
    <row r="98" spans="3:6" ht="12">
      <c r="C98"/>
      <c r="D98"/>
      <c r="E98"/>
      <c r="F98"/>
    </row>
    <row r="99" spans="3:6" ht="12">
      <c r="C99"/>
      <c r="D99"/>
      <c r="E99"/>
      <c r="F99"/>
    </row>
    <row r="100" spans="3:6" ht="12">
      <c r="C100"/>
      <c r="D100"/>
      <c r="E100"/>
      <c r="F100"/>
    </row>
    <row r="101" spans="3:6" ht="12">
      <c r="C101"/>
      <c r="D101"/>
      <c r="E101"/>
      <c r="F101"/>
    </row>
    <row r="102" spans="3:6" ht="12">
      <c r="C102"/>
      <c r="D102"/>
      <c r="E102"/>
      <c r="F102"/>
    </row>
    <row r="103" spans="3:6" ht="12">
      <c r="C103"/>
      <c r="D103"/>
      <c r="E103"/>
      <c r="F103"/>
    </row>
    <row r="104" spans="3:6" ht="12">
      <c r="C104"/>
      <c r="D104"/>
      <c r="E104"/>
      <c r="F104"/>
    </row>
    <row r="105" spans="3:6" ht="12">
      <c r="C105"/>
      <c r="D105"/>
      <c r="E105"/>
      <c r="F105"/>
    </row>
    <row r="106" spans="3:6" ht="12">
      <c r="C106"/>
      <c r="D106"/>
      <c r="E106"/>
      <c r="F106"/>
    </row>
    <row r="107" spans="3:6" ht="12">
      <c r="C107"/>
      <c r="D107"/>
      <c r="E107"/>
      <c r="F107"/>
    </row>
    <row r="108" spans="3:6" ht="12">
      <c r="C108"/>
      <c r="D108"/>
      <c r="E108"/>
      <c r="F108"/>
    </row>
    <row r="109" spans="3:6" ht="12">
      <c r="C109"/>
      <c r="D109"/>
      <c r="E109"/>
      <c r="F109"/>
    </row>
    <row r="110" spans="3:6" ht="12">
      <c r="C110"/>
      <c r="D110"/>
      <c r="E110"/>
      <c r="F110"/>
    </row>
    <row r="111" spans="3:6" ht="12">
      <c r="C111"/>
      <c r="D111"/>
      <c r="E111"/>
      <c r="F111"/>
    </row>
  </sheetData>
  <sheetProtection/>
  <mergeCells count="2">
    <mergeCell ref="E74:E75"/>
    <mergeCell ref="G74:G75"/>
  </mergeCells>
  <printOptions/>
  <pageMargins left="0.1968503937007874" right="0.11811023622047245" top="0.1968503937007874" bottom="0.1968503937007874" header="0.5118110236220472" footer="0.5118110236220472"/>
  <pageSetup horizontalDpi="600" verticalDpi="600" orientation="landscape" r:id="rId2"/>
  <headerFooter alignWithMargins="0">
    <oddFooter>&amp;L&amp;8&amp;F&amp;C&amp;8&amp;D&amp;R&amp;8&amp;P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36.8515625" style="0" customWidth="1"/>
    <col min="2" max="2" width="34.8515625" style="0" customWidth="1"/>
    <col min="3" max="3" width="8.00390625" style="0" customWidth="1"/>
    <col min="4" max="4" width="9.140625" style="3" customWidth="1"/>
    <col min="5" max="5" width="12.421875" style="3" bestFit="1" customWidth="1"/>
    <col min="6" max="6" width="9.140625" style="3" customWidth="1"/>
    <col min="7" max="7" width="11.57421875" style="0" bestFit="1" customWidth="1"/>
  </cols>
  <sheetData>
    <row r="1" ht="12.75">
      <c r="A1" s="1" t="s">
        <v>150</v>
      </c>
    </row>
    <row r="3" ht="12">
      <c r="A3" t="s">
        <v>155</v>
      </c>
    </row>
    <row r="5" ht="12">
      <c r="A5" t="s">
        <v>163</v>
      </c>
    </row>
    <row r="7" spans="2:6" ht="12.75">
      <c r="B7" s="4" t="s">
        <v>19</v>
      </c>
      <c r="C7" s="4" t="s">
        <v>29</v>
      </c>
      <c r="D7" s="4" t="s">
        <v>12</v>
      </c>
      <c r="E7" s="4" t="s">
        <v>18</v>
      </c>
      <c r="F7" s="4" t="s">
        <v>86</v>
      </c>
    </row>
    <row r="8" spans="1:6" ht="12.75">
      <c r="A8" s="1" t="s">
        <v>2</v>
      </c>
      <c r="B8" s="3"/>
      <c r="C8" s="15"/>
      <c r="D8" s="3" t="str">
        <f>gearcalc!D15</f>
        <v>211a</v>
      </c>
      <c r="F8" s="37" t="str">
        <f>gearcalc!F15</f>
        <v>211b</v>
      </c>
    </row>
    <row r="9" spans="1:6" ht="15">
      <c r="A9" t="s">
        <v>11</v>
      </c>
      <c r="B9" t="s">
        <v>153</v>
      </c>
      <c r="D9" s="3">
        <f>gearcalc!D16</f>
        <v>14</v>
      </c>
      <c r="F9" s="3">
        <f>gearcalc!F16</f>
        <v>35</v>
      </c>
    </row>
    <row r="10" spans="1:6" ht="15">
      <c r="A10" t="s">
        <v>151</v>
      </c>
      <c r="B10" t="s">
        <v>152</v>
      </c>
      <c r="D10" s="3">
        <f>gearcalc!D18/2</f>
        <v>0.282842712474619</v>
      </c>
      <c r="F10" s="3">
        <f>gearcalc!F18/2</f>
        <v>0.7071067811865475</v>
      </c>
    </row>
    <row r="11" spans="1:5" ht="15">
      <c r="A11" t="s">
        <v>154</v>
      </c>
      <c r="B11" s="5" t="s">
        <v>165</v>
      </c>
      <c r="E11" s="3">
        <f>gearcalc!E44</f>
        <v>27.236313475170725</v>
      </c>
    </row>
    <row r="12" spans="1:5" ht="15">
      <c r="A12" t="s">
        <v>168</v>
      </c>
      <c r="B12" s="2" t="s">
        <v>169</v>
      </c>
      <c r="E12" s="3">
        <f>TAN(E11*PI()/180)-E11*PI()/180</f>
        <v>0.03936829535234798</v>
      </c>
    </row>
    <row r="13" spans="1:6" ht="15">
      <c r="A13" t="s">
        <v>156</v>
      </c>
      <c r="B13" s="5" t="s">
        <v>157</v>
      </c>
      <c r="E13" s="3">
        <f>gearcalc!E46</f>
        <v>28.334669950785518</v>
      </c>
      <c r="F13" s="41" t="s">
        <v>29</v>
      </c>
    </row>
    <row r="14" spans="1:6" ht="15">
      <c r="A14" t="s">
        <v>160</v>
      </c>
      <c r="B14" t="s">
        <v>161</v>
      </c>
      <c r="D14" s="3">
        <f>gearcalc!D35</f>
        <v>0.06346975625940522</v>
      </c>
      <c r="F14" s="3">
        <f>gearcalc!F36</f>
        <v>0.0739896774887471</v>
      </c>
    </row>
    <row r="15" spans="1:7" ht="15">
      <c r="A15" t="s">
        <v>164</v>
      </c>
      <c r="B15" t="s">
        <v>166</v>
      </c>
      <c r="E15" s="3">
        <f>gearcalc!E19</f>
        <v>0.9899494936611664</v>
      </c>
      <c r="G15" s="38"/>
    </row>
    <row r="16" spans="1:5" ht="15">
      <c r="A16" t="s">
        <v>167</v>
      </c>
      <c r="B16" t="s">
        <v>198</v>
      </c>
      <c r="E16" s="78">
        <f>((D9*(D14+F14)-2*PI()*D10)/2/D10/(D9+F9))+E12</f>
        <v>0.044681657951502245</v>
      </c>
    </row>
    <row r="17" spans="2:5" ht="15">
      <c r="B17" t="s">
        <v>171</v>
      </c>
      <c r="E17" s="78">
        <f>TAN(E18*PI()/180)-E18*PI()/180</f>
        <v>0.02310124144390624</v>
      </c>
    </row>
    <row r="18" spans="1:6" ht="15">
      <c r="A18" t="s">
        <v>175</v>
      </c>
      <c r="B18" s="5" t="s">
        <v>170</v>
      </c>
      <c r="E18" s="3">
        <v>23.016571066803003</v>
      </c>
      <c r="F18" s="41" t="s">
        <v>199</v>
      </c>
    </row>
    <row r="19" spans="1:6" ht="15">
      <c r="A19" t="s">
        <v>172</v>
      </c>
      <c r="B19" t="s">
        <v>173</v>
      </c>
      <c r="E19" s="4">
        <f>E15*COS(E11*PI()/180)/COS(E18*PI()/180)</f>
        <v>0.9563213316355721</v>
      </c>
      <c r="F19" s="77" t="s">
        <v>199</v>
      </c>
    </row>
    <row r="22" ht="12">
      <c r="E22" s="78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43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7.8515625" style="0" customWidth="1"/>
    <col min="2" max="2" width="32.00390625" style="0" customWidth="1"/>
    <col min="3" max="3" width="5.00390625" style="11" customWidth="1"/>
    <col min="4" max="4" width="9.57421875" style="9" bestFit="1" customWidth="1"/>
    <col min="5" max="5" width="9.28125" style="3" customWidth="1"/>
    <col min="6" max="6" width="9.57421875" style="9" bestFit="1" customWidth="1"/>
  </cols>
  <sheetData>
    <row r="1" spans="1:5" ht="12.75">
      <c r="A1" s="1" t="s">
        <v>95</v>
      </c>
      <c r="C1"/>
      <c r="E1"/>
    </row>
    <row r="2" spans="3:5" ht="12">
      <c r="C2"/>
      <c r="E2"/>
    </row>
    <row r="3" spans="1:5" ht="12">
      <c r="A3" t="s">
        <v>96</v>
      </c>
      <c r="C3"/>
      <c r="E3"/>
    </row>
    <row r="4" spans="3:5" ht="12">
      <c r="C4"/>
      <c r="E4"/>
    </row>
    <row r="5" spans="1:5" ht="12">
      <c r="A5" s="33" t="s">
        <v>112</v>
      </c>
      <c r="C5"/>
      <c r="E5"/>
    </row>
    <row r="6" spans="3:5" ht="12">
      <c r="C6"/>
      <c r="E6"/>
    </row>
    <row r="7" spans="2:6" ht="12.75">
      <c r="B7" s="22" t="s">
        <v>19</v>
      </c>
      <c r="C7" s="22" t="s">
        <v>29</v>
      </c>
      <c r="D7" s="24" t="s">
        <v>12</v>
      </c>
      <c r="E7" s="22" t="s">
        <v>18</v>
      </c>
      <c r="F7" s="24" t="s">
        <v>97</v>
      </c>
    </row>
    <row r="8" spans="1:6" ht="12.75">
      <c r="A8" s="1" t="s">
        <v>2</v>
      </c>
      <c r="C8"/>
      <c r="D8" s="25" t="str">
        <f>gearcalc!D15</f>
        <v>211a</v>
      </c>
      <c r="E8" t="str">
        <f>gearcalc!B15</f>
        <v>Meccano helical gears</v>
      </c>
      <c r="F8" s="9" t="str">
        <f>gearcalc!F15</f>
        <v>211b</v>
      </c>
    </row>
    <row r="9" spans="1:6" ht="15.75">
      <c r="A9" t="s">
        <v>98</v>
      </c>
      <c r="B9" s="5" t="s">
        <v>99</v>
      </c>
      <c r="C9" s="23" t="s">
        <v>100</v>
      </c>
      <c r="D9" s="9">
        <f>ACOS((gearcalc!D51)/gearcalc!D30)*180/PI()</f>
        <v>36.14261106491331</v>
      </c>
      <c r="E9"/>
      <c r="F9" s="9">
        <f>ACOS((gearcalc!F51)/gearcalc!F30)*180/PI()</f>
        <v>32.53353537339088</v>
      </c>
    </row>
    <row r="10" spans="2:5" ht="12">
      <c r="B10" s="5"/>
      <c r="C10" s="23"/>
      <c r="E10"/>
    </row>
    <row r="11" spans="1:6" ht="15.75">
      <c r="A11" s="27" t="s">
        <v>107</v>
      </c>
      <c r="B11" s="28" t="s">
        <v>109</v>
      </c>
      <c r="C11" s="29"/>
      <c r="D11" s="30">
        <f>ATAN(TAN(gearcalc!E7*PI()/180)/COS(gearcalc!E9*PI()/180))*180/PI()</f>
        <v>27.236313475170725</v>
      </c>
      <c r="E11" s="104" t="s">
        <v>111</v>
      </c>
      <c r="F11" s="104"/>
    </row>
    <row r="12" spans="1:6" ht="24.75">
      <c r="A12" s="31" t="s">
        <v>110</v>
      </c>
      <c r="B12" s="32" t="s">
        <v>108</v>
      </c>
      <c r="C12" s="29"/>
      <c r="D12" s="30">
        <f>ACOS(COS(D11*PI()/180)*gearcalc!E19/gearcalc!E20)*180/PI()</f>
        <v>28.334669950785518</v>
      </c>
      <c r="E12" s="104"/>
      <c r="F12" s="104"/>
    </row>
    <row r="13" spans="2:5" ht="12">
      <c r="B13" s="5"/>
      <c r="C13" s="23"/>
      <c r="E13"/>
    </row>
    <row r="14" spans="1:5" ht="15.75">
      <c r="A14" t="s">
        <v>104</v>
      </c>
      <c r="B14" s="5" t="s">
        <v>105</v>
      </c>
      <c r="C14" s="23" t="s">
        <v>106</v>
      </c>
      <c r="D14" s="9">
        <f>ACOS(COS(ATAN(TAN(gearcalc!E7*PI()/180)/COS(gearcalc!E9*PI()/180)))*gearcalc!E19/gearcalc!E20)*180/PI()</f>
        <v>28.334669950785518</v>
      </c>
      <c r="E14"/>
    </row>
    <row r="15" spans="2:5" ht="12">
      <c r="B15" s="5"/>
      <c r="C15" s="23"/>
      <c r="E15"/>
    </row>
    <row r="16" spans="1:5" ht="24.75">
      <c r="A16" s="7" t="s">
        <v>103</v>
      </c>
      <c r="C16"/>
      <c r="E16"/>
    </row>
    <row r="17" spans="3:5" ht="12">
      <c r="C17"/>
      <c r="E17"/>
    </row>
    <row r="18" spans="3:5" ht="12">
      <c r="C18"/>
      <c r="E18"/>
    </row>
    <row r="19" spans="3:5" ht="12">
      <c r="C19"/>
      <c r="E19"/>
    </row>
    <row r="20" spans="3:5" ht="12">
      <c r="C20"/>
      <c r="E20"/>
    </row>
    <row r="21" spans="3:5" ht="12">
      <c r="C21"/>
      <c r="E21"/>
    </row>
    <row r="22" spans="3:5" ht="12">
      <c r="C22"/>
      <c r="E22"/>
    </row>
    <row r="23" spans="3:5" ht="12">
      <c r="C23"/>
      <c r="E23"/>
    </row>
    <row r="24" spans="3:5" ht="12">
      <c r="C24"/>
      <c r="E24"/>
    </row>
    <row r="25" spans="3:5" ht="12">
      <c r="C25"/>
      <c r="E25"/>
    </row>
    <row r="26" spans="3:5" ht="12">
      <c r="C26"/>
      <c r="E26"/>
    </row>
    <row r="27" spans="3:5" ht="12">
      <c r="C27"/>
      <c r="E27"/>
    </row>
    <row r="28" spans="3:5" ht="12">
      <c r="C28"/>
      <c r="E28"/>
    </row>
    <row r="29" spans="1:5" ht="12">
      <c r="A29" s="7"/>
      <c r="B29" s="10"/>
      <c r="C29" s="14"/>
      <c r="E29" s="9"/>
    </row>
    <row r="31" spans="1:6" ht="12">
      <c r="A31" s="7"/>
      <c r="B31" s="10"/>
      <c r="C31" s="14"/>
      <c r="D31" s="26"/>
      <c r="F31" s="26"/>
    </row>
    <row r="38" spans="1:5" ht="12">
      <c r="A38" s="7"/>
      <c r="B38" s="8"/>
      <c r="C38" s="13"/>
      <c r="E38" s="9"/>
    </row>
    <row r="39" spans="2:3" ht="12">
      <c r="B39" s="5"/>
      <c r="C39" s="12"/>
    </row>
    <row r="43" spans="2:3" ht="12">
      <c r="B43" s="5"/>
      <c r="C43" s="12"/>
    </row>
  </sheetData>
  <sheetProtection/>
  <mergeCells count="1">
    <mergeCell ref="E11:F1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30"/>
  <sheetViews>
    <sheetView zoomScalePageLayoutView="0" workbookViewId="0" topLeftCell="A13">
      <selection activeCell="E26" sqref="E26"/>
    </sheetView>
  </sheetViews>
  <sheetFormatPr defaultColWidth="9.140625" defaultRowHeight="12.75"/>
  <cols>
    <col min="1" max="1" width="38.140625" style="0" customWidth="1"/>
    <col min="2" max="2" width="41.28125" style="0" customWidth="1"/>
    <col min="3" max="3" width="7.421875" style="0" customWidth="1"/>
    <col min="5" max="5" width="9.57421875" style="9" bestFit="1" customWidth="1"/>
    <col min="6" max="6" width="9.140625" style="3" customWidth="1"/>
    <col min="7" max="7" width="11.7109375" style="0" customWidth="1"/>
  </cols>
  <sheetData>
    <row r="1" ht="12.75">
      <c r="A1" s="34" t="s">
        <v>205</v>
      </c>
    </row>
    <row r="2" ht="12.75">
      <c r="A2" s="34" t="s">
        <v>206</v>
      </c>
    </row>
    <row r="4" ht="12">
      <c r="A4" t="s">
        <v>113</v>
      </c>
    </row>
    <row r="6" ht="12">
      <c r="A6" t="s">
        <v>114</v>
      </c>
    </row>
    <row r="8" spans="1:6" ht="12.75">
      <c r="A8" s="1" t="s">
        <v>2</v>
      </c>
      <c r="B8" t="s">
        <v>118</v>
      </c>
      <c r="C8" s="15"/>
      <c r="D8" s="19"/>
      <c r="F8" s="19" t="str">
        <f>gearcalc!F15</f>
        <v>211b</v>
      </c>
    </row>
    <row r="9" spans="1:6" ht="15">
      <c r="A9" s="2" t="s">
        <v>117</v>
      </c>
      <c r="B9" t="s">
        <v>214</v>
      </c>
      <c r="C9" s="15"/>
      <c r="D9" s="89"/>
      <c r="E9" s="9">
        <f>PI()/gearcalc!E8</f>
        <v>0.08975979010256552</v>
      </c>
      <c r="F9" s="19"/>
    </row>
    <row r="10" spans="1:6" ht="15.75">
      <c r="A10" t="s">
        <v>115</v>
      </c>
      <c r="B10" s="2" t="s">
        <v>116</v>
      </c>
      <c r="E10" s="9">
        <f>(((gearcalc!D30/2)^2-(gearcalc!D51/2)^2)^0.5+((gearcalc!F30/2)^2-(gearcalc!F51/2)^2)^0.5-gearcalc!E20*SIN(gearcalc!E44*PI()/180))/PI()*gearcalc!E8/COS(gearcalc!E44*PI()/180)</f>
        <v>1.592048682344732</v>
      </c>
      <c r="F10" s="40"/>
    </row>
    <row r="12" spans="2:5" ht="12.75">
      <c r="B12" t="s">
        <v>119</v>
      </c>
      <c r="E12" s="24"/>
    </row>
    <row r="13" spans="1:5" ht="15.75">
      <c r="A13" t="s">
        <v>122</v>
      </c>
      <c r="B13" s="5" t="s">
        <v>123</v>
      </c>
      <c r="C13" s="23" t="s">
        <v>124</v>
      </c>
      <c r="E13" s="87">
        <f>ACOS(gearcalc!E19/gearcalc!E20*COS(gearcalc!E44*PI()/180))*180/PI()</f>
        <v>28.334669950785518</v>
      </c>
    </row>
    <row r="14" spans="1:5" ht="15.75">
      <c r="A14" t="s">
        <v>127</v>
      </c>
      <c r="B14" s="5" t="s">
        <v>129</v>
      </c>
      <c r="C14" s="23" t="s">
        <v>126</v>
      </c>
      <c r="E14" s="87">
        <f>ATAN(gearcalc!E20/gearcalc!E19*TAN(gearcalc!E9*PI()/180))*180/PI()</f>
        <v>45.289377544830394</v>
      </c>
    </row>
    <row r="15" spans="1:5" ht="15.75">
      <c r="A15" t="s">
        <v>144</v>
      </c>
      <c r="B15" s="5" t="s">
        <v>128</v>
      </c>
      <c r="C15" s="23" t="s">
        <v>130</v>
      </c>
      <c r="E15" s="87">
        <f>ATAN(TAN(E13*PI()/180)/COS(E14*PI()/180))*180/PI()</f>
        <v>37.468742564971386</v>
      </c>
    </row>
    <row r="16" spans="1:6" ht="15">
      <c r="A16" t="s">
        <v>120</v>
      </c>
      <c r="B16" t="s">
        <v>121</v>
      </c>
      <c r="C16" s="23" t="s">
        <v>125</v>
      </c>
      <c r="D16">
        <f>PI()*gearcalc!D51/gearcalc!D16</f>
        <v>0.11286528329904821</v>
      </c>
      <c r="F16" s="3">
        <f>PI()*gearcalc!F51/gearcalc!F16</f>
        <v>0.11286528329904821</v>
      </c>
    </row>
    <row r="17" spans="1:6" ht="31.5">
      <c r="A17" s="8" t="s">
        <v>131</v>
      </c>
      <c r="B17" s="35" t="s">
        <v>145</v>
      </c>
      <c r="C17" s="36" t="s">
        <v>132</v>
      </c>
      <c r="D17" s="8">
        <f>(gearcalc!D30^2-gearcalc!D51^2)^0.5/2-gearcalc!D21*SIN(E13*PI()/180)/2</f>
        <v>0.048065184660321836</v>
      </c>
      <c r="F17" s="9">
        <f>(gearcalc!F30^2-gearcalc!F51^2)^0.5/2-gearcalc!F21*SIN(E13*PI()/180)/2</f>
        <v>0.062033364472258434</v>
      </c>
    </row>
    <row r="18" spans="1:6" ht="15">
      <c r="A18" t="s">
        <v>133</v>
      </c>
      <c r="B18" t="s">
        <v>134</v>
      </c>
      <c r="C18" s="23" t="s">
        <v>136</v>
      </c>
      <c r="D18">
        <f>D17/D16</f>
        <v>0.42586332356042705</v>
      </c>
      <c r="F18" s="6">
        <f>F17/F16</f>
        <v>0.5496230785855969</v>
      </c>
    </row>
    <row r="19" spans="1:7" ht="15">
      <c r="A19" s="1" t="s">
        <v>142</v>
      </c>
      <c r="B19" t="s">
        <v>138</v>
      </c>
      <c r="C19" s="23" t="s">
        <v>135</v>
      </c>
      <c r="E19" s="24">
        <f>D18+F18</f>
        <v>0.9754864021460239</v>
      </c>
      <c r="G19" s="1"/>
    </row>
    <row r="20" spans="1:5" ht="15">
      <c r="A20" t="s">
        <v>139</v>
      </c>
      <c r="B20" s="5" t="s">
        <v>140</v>
      </c>
      <c r="C20" s="23" t="s">
        <v>141</v>
      </c>
      <c r="E20" s="88">
        <f>ASIN(SIN(gearcalc!E9*PI()/180)*COS(gearcalc!E7*PI()/180))*180/PI()</f>
        <v>41.64114326790979</v>
      </c>
    </row>
    <row r="21" spans="1:7" ht="15.75">
      <c r="A21" s="1" t="s">
        <v>137</v>
      </c>
      <c r="B21" t="s">
        <v>143</v>
      </c>
      <c r="E21" s="24">
        <f>E19/COS(E20*PI()/180)^2</f>
        <v>1.746653193956942</v>
      </c>
      <c r="G21" s="1"/>
    </row>
    <row r="23" ht="12.75">
      <c r="A23" s="34" t="s">
        <v>207</v>
      </c>
    </row>
    <row r="24" ht="12">
      <c r="B24" t="s">
        <v>119</v>
      </c>
    </row>
    <row r="25" spans="1:5" ht="12">
      <c r="A25" t="s">
        <v>210</v>
      </c>
      <c r="B25" t="s">
        <v>211</v>
      </c>
      <c r="E25" s="9">
        <v>0.1875</v>
      </c>
    </row>
    <row r="26" spans="1:5" ht="15">
      <c r="A26" t="s">
        <v>212</v>
      </c>
      <c r="B26" t="s">
        <v>213</v>
      </c>
      <c r="C26" s="23">
        <v>4.17</v>
      </c>
      <c r="E26" s="88">
        <f>PI()/gearcalc!E8/SIN(gearcalc!E9*PI()/180)</f>
        <v>0.12693951251881047</v>
      </c>
    </row>
    <row r="27" spans="1:5" ht="15">
      <c r="A27" t="s">
        <v>208</v>
      </c>
      <c r="B27" t="s">
        <v>209</v>
      </c>
      <c r="C27" s="23">
        <v>7.8</v>
      </c>
      <c r="E27" s="90">
        <f>E25*gearcalc!E8*SIN(gearcalc!E9*PI()/180)/PI()</f>
        <v>1.4770814561952519</v>
      </c>
    </row>
    <row r="29" ht="12.75">
      <c r="A29" s="34" t="s">
        <v>215</v>
      </c>
    </row>
    <row r="30" spans="1:5" ht="15">
      <c r="A30" t="s">
        <v>216</v>
      </c>
      <c r="B30" t="s">
        <v>217</v>
      </c>
      <c r="E30" s="91">
        <f>E19+E27</f>
        <v>2.4525678583412756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E G WENBOURNE</dc:creator>
  <cp:keywords/>
  <dc:description/>
  <cp:lastModifiedBy>Alan</cp:lastModifiedBy>
  <cp:lastPrinted>2007-05-09T13:26:10Z</cp:lastPrinted>
  <dcterms:created xsi:type="dcterms:W3CDTF">2000-01-06T18:39:40Z</dcterms:created>
  <dcterms:modified xsi:type="dcterms:W3CDTF">2017-08-29T17:50:39Z</dcterms:modified>
  <cp:category/>
  <cp:version/>
  <cp:contentType/>
  <cp:contentStatus/>
</cp:coreProperties>
</file>